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05" windowWidth="10830" windowHeight="6900" tabRatio="727" firstSheet="9" activeTab="18"/>
  </bookViews>
  <sheets>
    <sheet name="Graph Moyennes régionales" sheetId="52" r:id="rId1"/>
    <sheet name="toutes" sheetId="4" r:id="rId2"/>
    <sheet name="Graph Bas-St-Laurent" sheetId="25" r:id="rId3"/>
    <sheet name="Graph Cap. Nationale" sheetId="23" r:id="rId4"/>
    <sheet name="Graph Centre Qc" sheetId="27" r:id="rId5"/>
    <sheet name="Graph Chaudière-Appalaches" sheetId="29" r:id="rId6"/>
    <sheet name="Graph Estrie" sheetId="31" r:id="rId7"/>
    <sheet name="Graph Lanaudière" sheetId="33" r:id="rId8"/>
    <sheet name="Graph Laurentides" sheetId="35" r:id="rId9"/>
    <sheet name="Graph Mauricie" sheetId="45" r:id="rId10"/>
    <sheet name="Graph M-E" sheetId="37" r:id="rId11"/>
    <sheet name="Graph M-O" sheetId="39" r:id="rId12"/>
    <sheet name="Graph Outaouais" sheetId="41" r:id="rId13"/>
    <sheet name="Graph Saguenay" sheetId="43" r:id="rId14"/>
    <sheet name="2010" sheetId="1" r:id="rId15"/>
    <sheet name="2011" sheetId="2" r:id="rId16"/>
    <sheet name="2012" sheetId="3" r:id="rId17"/>
    <sheet name="2013" sheetId="44" r:id="rId18"/>
    <sheet name="2014" sheetId="46" r:id="rId19"/>
    <sheet name="2015" sheetId="47" r:id="rId20"/>
    <sheet name="Feuil1" sheetId="50" r:id="rId21"/>
  </sheets>
  <calcPr calcId="145621"/>
</workbook>
</file>

<file path=xl/calcChain.xml><?xml version="1.0" encoding="utf-8"?>
<calcChain xmlns="http://schemas.openxmlformats.org/spreadsheetml/2006/main">
  <c r="AL76" i="4" l="1"/>
  <c r="AL23" i="4"/>
  <c r="AL24" i="4"/>
  <c r="A11" i="50" l="1"/>
  <c r="C5" i="50"/>
  <c r="D5" i="50"/>
  <c r="E5" i="50"/>
  <c r="G5" i="50"/>
  <c r="C6" i="50"/>
  <c r="D6" i="50"/>
  <c r="E6" i="50"/>
  <c r="G6" i="50"/>
  <c r="C7" i="50"/>
  <c r="D7" i="50"/>
  <c r="E7" i="50"/>
  <c r="G7" i="50"/>
  <c r="C8" i="50"/>
  <c r="D8" i="50"/>
  <c r="E8" i="50"/>
  <c r="G8" i="50"/>
  <c r="C9" i="50"/>
  <c r="D9" i="50"/>
  <c r="E9" i="50"/>
  <c r="G9" i="50"/>
  <c r="C10" i="50"/>
  <c r="D10" i="50"/>
  <c r="E10" i="50"/>
  <c r="G10" i="50"/>
  <c r="C11" i="50"/>
  <c r="D11" i="50"/>
  <c r="E11" i="50"/>
  <c r="G11" i="50"/>
  <c r="C12" i="50"/>
  <c r="D12" i="50"/>
  <c r="E12" i="50"/>
  <c r="G12" i="50"/>
  <c r="C13" i="50"/>
  <c r="D13" i="50"/>
  <c r="E13" i="50"/>
  <c r="G13" i="50"/>
  <c r="C14" i="50"/>
  <c r="D14" i="50"/>
  <c r="E14" i="50"/>
  <c r="G14" i="50"/>
  <c r="B14" i="50"/>
  <c r="B13" i="50"/>
  <c r="B12" i="50"/>
  <c r="B11" i="50"/>
  <c r="B10" i="50"/>
  <c r="B9" i="50"/>
  <c r="B8" i="50"/>
  <c r="B7" i="50"/>
  <c r="B6" i="50"/>
  <c r="B5" i="50"/>
  <c r="D4" i="50"/>
  <c r="E4" i="50"/>
  <c r="C4" i="50"/>
  <c r="B4" i="50"/>
  <c r="B3" i="50"/>
  <c r="E3" i="50"/>
  <c r="D3" i="50"/>
  <c r="C3" i="50"/>
  <c r="A14" i="50"/>
  <c r="A13" i="50"/>
  <c r="A12" i="50"/>
  <c r="A10" i="50"/>
  <c r="A9" i="50"/>
  <c r="A8" i="50"/>
  <c r="A7" i="50"/>
  <c r="A6" i="50"/>
  <c r="A5" i="50"/>
  <c r="A4" i="50"/>
  <c r="A3" i="50"/>
  <c r="H66" i="46"/>
  <c r="V62" i="4" s="1"/>
  <c r="H58" i="46"/>
  <c r="H17" i="46"/>
  <c r="V12" i="4" s="1"/>
  <c r="J6" i="4"/>
  <c r="K6" i="4"/>
  <c r="J77" i="4"/>
  <c r="J76" i="4"/>
  <c r="J74" i="4"/>
  <c r="J73" i="4"/>
  <c r="J72" i="4"/>
  <c r="J71" i="4"/>
  <c r="J69" i="4"/>
  <c r="J68" i="4"/>
  <c r="J67" i="4"/>
  <c r="J66" i="4"/>
  <c r="J65" i="4"/>
  <c r="J64" i="4"/>
  <c r="J62" i="4"/>
  <c r="J61" i="4"/>
  <c r="J60" i="4"/>
  <c r="J59" i="4"/>
  <c r="J58" i="4"/>
  <c r="J57" i="4"/>
  <c r="J56" i="4"/>
  <c r="J54" i="4"/>
  <c r="J53" i="4"/>
  <c r="J50" i="4"/>
  <c r="J49" i="4"/>
  <c r="J48" i="4"/>
  <c r="J47" i="4"/>
  <c r="J46" i="4"/>
  <c r="J45" i="4"/>
  <c r="J44" i="4"/>
  <c r="J43" i="4"/>
  <c r="J41" i="4"/>
  <c r="J40" i="4"/>
  <c r="J39" i="4"/>
  <c r="J37" i="4"/>
  <c r="J36" i="4"/>
  <c r="J34" i="4"/>
  <c r="J33" i="4"/>
  <c r="J32" i="4"/>
  <c r="J31" i="4"/>
  <c r="J29" i="4"/>
  <c r="J28" i="4"/>
  <c r="J27" i="4"/>
  <c r="J25" i="4"/>
  <c r="J24" i="4"/>
  <c r="J23" i="4"/>
  <c r="J22" i="4"/>
  <c r="J20" i="4"/>
  <c r="J19" i="4"/>
  <c r="J18" i="4"/>
  <c r="J16" i="4"/>
  <c r="J15" i="4"/>
  <c r="J14" i="4"/>
  <c r="J12" i="4"/>
  <c r="J11" i="4"/>
  <c r="J10" i="4"/>
  <c r="J9" i="4"/>
  <c r="J7" i="4"/>
  <c r="K11" i="4"/>
  <c r="K10" i="4"/>
  <c r="K9" i="4"/>
  <c r="D17" i="46"/>
  <c r="K12" i="4" s="1"/>
  <c r="D12" i="46"/>
  <c r="AW6" i="4"/>
  <c r="AV6" i="4"/>
  <c r="AU6" i="4"/>
  <c r="AW76" i="4"/>
  <c r="AW73" i="4"/>
  <c r="AW72" i="4"/>
  <c r="AW71" i="4"/>
  <c r="AW68" i="4"/>
  <c r="AW67" i="4"/>
  <c r="AW66" i="4"/>
  <c r="AW65" i="4"/>
  <c r="AW64" i="4"/>
  <c r="AW61" i="4"/>
  <c r="AW60" i="4"/>
  <c r="AW59" i="4"/>
  <c r="AW58" i="4"/>
  <c r="AW57" i="4"/>
  <c r="AW56" i="4"/>
  <c r="AW53" i="4"/>
  <c r="AW50" i="4"/>
  <c r="AW49" i="4"/>
  <c r="AW48" i="4"/>
  <c r="AW47" i="4"/>
  <c r="AW46" i="4"/>
  <c r="AW45" i="4"/>
  <c r="AW44" i="4"/>
  <c r="AW43" i="4"/>
  <c r="AW41" i="4"/>
  <c r="AW40" i="4"/>
  <c r="AW39" i="4"/>
  <c r="AW37" i="4"/>
  <c r="AW36" i="4"/>
  <c r="AW33" i="4"/>
  <c r="AW32" i="4"/>
  <c r="AW31" i="4"/>
  <c r="AW28" i="4"/>
  <c r="AW27" i="4"/>
  <c r="AW24" i="4"/>
  <c r="AW23" i="4"/>
  <c r="AW22" i="4"/>
  <c r="AW19" i="4"/>
  <c r="AW18" i="4"/>
  <c r="AW16" i="4"/>
  <c r="AW15" i="4"/>
  <c r="AW14" i="4"/>
  <c r="AW11" i="4"/>
  <c r="AW10" i="4"/>
  <c r="AW9" i="4"/>
  <c r="R82" i="47"/>
  <c r="AW77" i="4"/>
  <c r="P82" i="47"/>
  <c r="N82" i="47"/>
  <c r="L82" i="47"/>
  <c r="J82" i="47"/>
  <c r="H82" i="47"/>
  <c r="F82" i="47"/>
  <c r="D82" i="47"/>
  <c r="B82" i="47"/>
  <c r="R79" i="47"/>
  <c r="AW74" i="4"/>
  <c r="P79" i="47"/>
  <c r="N79" i="47"/>
  <c r="L79" i="47"/>
  <c r="J79" i="47"/>
  <c r="H79" i="47"/>
  <c r="F79" i="47"/>
  <c r="D79" i="47"/>
  <c r="B79" i="47"/>
  <c r="R74" i="47"/>
  <c r="AW69" i="4"/>
  <c r="P74" i="47"/>
  <c r="N74" i="47"/>
  <c r="L74" i="47"/>
  <c r="J74" i="47"/>
  <c r="H74" i="47"/>
  <c r="F74" i="47"/>
  <c r="D74" i="47"/>
  <c r="B74" i="47"/>
  <c r="R67" i="47"/>
  <c r="AW62" i="4"/>
  <c r="P67" i="47"/>
  <c r="N67" i="47"/>
  <c r="L67" i="47"/>
  <c r="J67" i="47"/>
  <c r="H67" i="47"/>
  <c r="F67" i="47"/>
  <c r="D67" i="47"/>
  <c r="B67" i="47"/>
  <c r="R59" i="47"/>
  <c r="AW54" i="4"/>
  <c r="P59" i="47"/>
  <c r="N59" i="47"/>
  <c r="L59" i="47"/>
  <c r="J59" i="47"/>
  <c r="H59" i="47"/>
  <c r="F59" i="47"/>
  <c r="D59" i="47"/>
  <c r="B59" i="47"/>
  <c r="R39" i="47"/>
  <c r="AW34" i="4"/>
  <c r="P39" i="47"/>
  <c r="N39" i="47"/>
  <c r="L39" i="47"/>
  <c r="J39" i="47"/>
  <c r="H39" i="47"/>
  <c r="F39" i="47"/>
  <c r="D39" i="47"/>
  <c r="B39" i="47"/>
  <c r="R34" i="47"/>
  <c r="AW29" i="4"/>
  <c r="P34" i="47"/>
  <c r="N34" i="47"/>
  <c r="L34" i="47"/>
  <c r="J34" i="47"/>
  <c r="H34" i="47"/>
  <c r="F34" i="47"/>
  <c r="D34" i="47"/>
  <c r="B34" i="47"/>
  <c r="R30" i="47"/>
  <c r="AW25" i="4"/>
  <c r="P30" i="47"/>
  <c r="N30" i="47"/>
  <c r="L30" i="47"/>
  <c r="J30" i="47"/>
  <c r="H30" i="47"/>
  <c r="F30" i="47"/>
  <c r="D30" i="47"/>
  <c r="B30" i="47"/>
  <c r="R25" i="47"/>
  <c r="AW20" i="4"/>
  <c r="P25" i="47"/>
  <c r="N25" i="47"/>
  <c r="L25" i="47"/>
  <c r="J25" i="47"/>
  <c r="H25" i="47"/>
  <c r="F25" i="47"/>
  <c r="D25" i="47"/>
  <c r="B25" i="47"/>
  <c r="R21" i="47"/>
  <c r="P21" i="47"/>
  <c r="N21" i="47"/>
  <c r="L21" i="47"/>
  <c r="J21" i="47"/>
  <c r="H21" i="47"/>
  <c r="F21" i="47"/>
  <c r="D21" i="47"/>
  <c r="B21" i="47"/>
  <c r="R17" i="47"/>
  <c r="AW12" i="4"/>
  <c r="G4" i="50"/>
  <c r="P17" i="47"/>
  <c r="N17" i="47"/>
  <c r="L17" i="47"/>
  <c r="J17" i="47"/>
  <c r="H17" i="47"/>
  <c r="F17" i="47"/>
  <c r="D17" i="47"/>
  <c r="B17" i="47"/>
  <c r="R12" i="47"/>
  <c r="AW7" i="4"/>
  <c r="G3" i="50"/>
  <c r="P12" i="47"/>
  <c r="N12" i="47"/>
  <c r="L12" i="47"/>
  <c r="J12" i="47"/>
  <c r="H12" i="47"/>
  <c r="F12" i="47"/>
  <c r="D12" i="47"/>
  <c r="B12" i="47"/>
  <c r="Z12" i="4"/>
  <c r="AA76" i="4"/>
  <c r="AA73" i="4"/>
  <c r="AA72" i="4"/>
  <c r="AA71" i="4"/>
  <c r="AA68" i="4"/>
  <c r="AA67" i="4"/>
  <c r="AA66" i="4"/>
  <c r="AA65" i="4"/>
  <c r="AA64" i="4"/>
  <c r="AA61" i="4"/>
  <c r="AA60" i="4"/>
  <c r="AA59" i="4"/>
  <c r="AA58" i="4"/>
  <c r="AA57" i="4"/>
  <c r="AA56" i="4"/>
  <c r="AA53" i="4"/>
  <c r="AA50" i="4"/>
  <c r="AA49" i="4"/>
  <c r="AA48" i="4"/>
  <c r="AA47" i="4"/>
  <c r="AA46" i="4"/>
  <c r="AA45" i="4"/>
  <c r="AA44" i="4"/>
  <c r="AA43" i="4"/>
  <c r="AA41" i="4"/>
  <c r="AA40" i="4"/>
  <c r="AA39" i="4"/>
  <c r="AA37" i="4"/>
  <c r="AA36" i="4"/>
  <c r="AA33" i="4"/>
  <c r="AA32" i="4"/>
  <c r="AA31" i="4"/>
  <c r="AA28" i="4"/>
  <c r="AA27" i="4"/>
  <c r="AA24" i="4"/>
  <c r="AA23" i="4"/>
  <c r="AA22" i="4"/>
  <c r="AA19" i="4"/>
  <c r="AA18" i="4"/>
  <c r="AA15" i="4"/>
  <c r="AA14" i="4"/>
  <c r="AA11" i="4"/>
  <c r="AA10" i="4"/>
  <c r="AA9" i="4"/>
  <c r="AA6" i="4"/>
  <c r="AF76" i="4"/>
  <c r="AF73" i="4"/>
  <c r="AF72" i="4"/>
  <c r="AF71" i="4"/>
  <c r="AF68" i="4"/>
  <c r="AF67" i="4"/>
  <c r="AF66" i="4"/>
  <c r="AF65" i="4"/>
  <c r="AF64" i="4"/>
  <c r="AF61" i="4"/>
  <c r="AF60" i="4"/>
  <c r="AF59" i="4"/>
  <c r="AF58" i="4"/>
  <c r="AF57" i="4"/>
  <c r="AF56" i="4"/>
  <c r="AF53" i="4"/>
  <c r="AF50" i="4"/>
  <c r="AF49" i="4"/>
  <c r="AF48" i="4"/>
  <c r="AF47" i="4"/>
  <c r="AF46" i="4"/>
  <c r="AF45" i="4"/>
  <c r="AF44" i="4"/>
  <c r="AF43" i="4"/>
  <c r="AF41" i="4"/>
  <c r="AF40" i="4"/>
  <c r="AF39" i="4"/>
  <c r="AF37" i="4"/>
  <c r="AF36" i="4"/>
  <c r="AF33" i="4"/>
  <c r="AF32" i="4"/>
  <c r="AF31" i="4"/>
  <c r="AF28" i="4"/>
  <c r="AF27" i="4"/>
  <c r="AF24" i="4"/>
  <c r="AF23" i="4"/>
  <c r="AF22" i="4"/>
  <c r="AF19" i="4"/>
  <c r="AF18" i="4"/>
  <c r="AF15" i="4"/>
  <c r="AF14" i="4"/>
  <c r="AF11" i="4"/>
  <c r="AF10" i="4"/>
  <c r="AF9" i="4"/>
  <c r="AF6" i="4"/>
  <c r="Z77" i="4"/>
  <c r="Z76" i="4"/>
  <c r="Z74" i="4"/>
  <c r="Z72" i="4"/>
  <c r="Z73" i="4"/>
  <c r="Z71" i="4"/>
  <c r="Z69" i="4"/>
  <c r="Z65" i="4"/>
  <c r="Z66" i="4"/>
  <c r="Z67" i="4"/>
  <c r="Z68" i="4"/>
  <c r="Z64" i="4"/>
  <c r="Z62" i="4"/>
  <c r="Z57" i="4"/>
  <c r="Z58" i="4"/>
  <c r="Z59" i="4"/>
  <c r="Z60" i="4"/>
  <c r="Z61" i="4"/>
  <c r="Z56" i="4"/>
  <c r="AE77" i="4"/>
  <c r="AE76" i="4"/>
  <c r="AE74" i="4"/>
  <c r="AE72" i="4"/>
  <c r="AE73" i="4"/>
  <c r="AE71" i="4"/>
  <c r="AE69" i="4"/>
  <c r="AE65" i="4"/>
  <c r="AE66" i="4"/>
  <c r="AE67" i="4"/>
  <c r="AE68" i="4"/>
  <c r="AE64" i="4"/>
  <c r="AE62" i="4"/>
  <c r="AE57" i="4"/>
  <c r="AE58" i="4"/>
  <c r="AE59" i="4"/>
  <c r="AE60" i="4"/>
  <c r="AE61" i="4"/>
  <c r="AE56" i="4"/>
  <c r="AE54" i="4"/>
  <c r="Z54" i="4"/>
  <c r="AE37" i="4"/>
  <c r="AE39" i="4"/>
  <c r="AE40" i="4"/>
  <c r="AE41" i="4"/>
  <c r="AE43" i="4"/>
  <c r="AE44" i="4"/>
  <c r="AE45" i="4"/>
  <c r="AE46" i="4"/>
  <c r="AE47" i="4"/>
  <c r="AE48" i="4"/>
  <c r="AE49" i="4"/>
  <c r="AE50" i="4"/>
  <c r="AE53" i="4"/>
  <c r="Z37" i="4"/>
  <c r="Z39" i="4"/>
  <c r="Z40" i="4"/>
  <c r="Z41" i="4"/>
  <c r="Z43" i="4"/>
  <c r="Z44" i="4"/>
  <c r="Z45" i="4"/>
  <c r="Z46" i="4"/>
  <c r="Z47" i="4"/>
  <c r="Z48" i="4"/>
  <c r="Z49" i="4"/>
  <c r="Z50" i="4"/>
  <c r="Z53" i="4"/>
  <c r="Z36" i="4"/>
  <c r="AE36" i="4"/>
  <c r="AE34" i="4"/>
  <c r="AE32" i="4"/>
  <c r="AE33" i="4"/>
  <c r="AE31" i="4"/>
  <c r="AE28" i="4"/>
  <c r="AE29" i="4"/>
  <c r="AE27" i="4"/>
  <c r="Z34" i="4"/>
  <c r="Z32" i="4"/>
  <c r="Z33" i="4"/>
  <c r="Z31" i="4"/>
  <c r="Z29" i="4"/>
  <c r="Z28" i="4"/>
  <c r="Z27" i="4"/>
  <c r="Z25" i="4"/>
  <c r="Z23" i="4"/>
  <c r="Z24" i="4"/>
  <c r="Z22" i="4"/>
  <c r="Z20" i="4"/>
  <c r="Z19" i="4"/>
  <c r="Z18" i="4"/>
  <c r="AE25" i="4"/>
  <c r="AE23" i="4"/>
  <c r="AE24" i="4"/>
  <c r="AE22" i="4"/>
  <c r="AE20" i="4"/>
  <c r="AE19" i="4"/>
  <c r="AE18" i="4"/>
  <c r="AE15" i="4"/>
  <c r="AE16" i="4"/>
  <c r="AE14" i="4"/>
  <c r="Z16" i="4"/>
  <c r="Z15" i="4"/>
  <c r="Z14" i="4"/>
  <c r="Z10" i="4"/>
  <c r="Z11" i="4"/>
  <c r="Z9" i="4"/>
  <c r="AE12" i="4"/>
  <c r="AE10" i="4"/>
  <c r="AE11" i="4"/>
  <c r="AE9" i="4"/>
  <c r="AQ76" i="4"/>
  <c r="AQ73" i="4"/>
  <c r="AQ72" i="4"/>
  <c r="AQ71" i="4"/>
  <c r="AQ68" i="4"/>
  <c r="AQ67" i="4"/>
  <c r="AQ66" i="4"/>
  <c r="AQ65" i="4"/>
  <c r="AQ64" i="4"/>
  <c r="AQ61" i="4"/>
  <c r="AQ60" i="4"/>
  <c r="AQ59" i="4"/>
  <c r="AQ58" i="4"/>
  <c r="AQ57" i="4"/>
  <c r="AQ56" i="4"/>
  <c r="AQ53" i="4"/>
  <c r="AQ50" i="4"/>
  <c r="AQ49" i="4"/>
  <c r="AQ48" i="4"/>
  <c r="AQ47" i="4"/>
  <c r="AQ46" i="4"/>
  <c r="AQ45" i="4"/>
  <c r="AQ44" i="4"/>
  <c r="AQ43" i="4"/>
  <c r="AQ41" i="4"/>
  <c r="AQ40" i="4"/>
  <c r="AQ39" i="4"/>
  <c r="AQ37" i="4"/>
  <c r="AQ36" i="4"/>
  <c r="AQ33" i="4"/>
  <c r="AQ32" i="4"/>
  <c r="AQ31" i="4"/>
  <c r="AQ28" i="4"/>
  <c r="AQ27" i="4"/>
  <c r="AQ24" i="4"/>
  <c r="AQ23" i="4"/>
  <c r="AQ22" i="4"/>
  <c r="AQ19" i="4"/>
  <c r="AQ18" i="4"/>
  <c r="AQ15" i="4"/>
  <c r="AQ14" i="4"/>
  <c r="AQ11" i="4"/>
  <c r="AQ10" i="4"/>
  <c r="AQ9" i="4"/>
  <c r="AQ6" i="4"/>
  <c r="AP76" i="4"/>
  <c r="AP77" i="4"/>
  <c r="AP74" i="4"/>
  <c r="AP72" i="4"/>
  <c r="AP73" i="4"/>
  <c r="AP71" i="4"/>
  <c r="AP69" i="4"/>
  <c r="AP65" i="4"/>
  <c r="AP66" i="4"/>
  <c r="AP67" i="4"/>
  <c r="AP68" i="4"/>
  <c r="AP64" i="4"/>
  <c r="AL73" i="4"/>
  <c r="AL72" i="4"/>
  <c r="AL71" i="4"/>
  <c r="AL68" i="4"/>
  <c r="AL67" i="4"/>
  <c r="AL66" i="4"/>
  <c r="AL65" i="4"/>
  <c r="AL64" i="4"/>
  <c r="AL61" i="4"/>
  <c r="AL60" i="4"/>
  <c r="AL59" i="4"/>
  <c r="AL58" i="4"/>
  <c r="AL57" i="4"/>
  <c r="AL56" i="4"/>
  <c r="AL53" i="4"/>
  <c r="AL50" i="4"/>
  <c r="AL49" i="4"/>
  <c r="AL48" i="4"/>
  <c r="AL47" i="4"/>
  <c r="AL46" i="4"/>
  <c r="AL45" i="4"/>
  <c r="AL44" i="4"/>
  <c r="AL43" i="4"/>
  <c r="AL41" i="4"/>
  <c r="AL40" i="4"/>
  <c r="AL39" i="4"/>
  <c r="AL37" i="4"/>
  <c r="AL36" i="4"/>
  <c r="AL33" i="4"/>
  <c r="AL32" i="4"/>
  <c r="AL31" i="4"/>
  <c r="AL28" i="4"/>
  <c r="AL27" i="4"/>
  <c r="AL22" i="4"/>
  <c r="AL19" i="4"/>
  <c r="AL18" i="4"/>
  <c r="AL15" i="4"/>
  <c r="AL14" i="4"/>
  <c r="AL11" i="4"/>
  <c r="AL10" i="4"/>
  <c r="AL9" i="4"/>
  <c r="AL6" i="4"/>
  <c r="AK77" i="4"/>
  <c r="AK76" i="4"/>
  <c r="AK74" i="4"/>
  <c r="AK72" i="4"/>
  <c r="AK73" i="4"/>
  <c r="AK71" i="4"/>
  <c r="AK69" i="4"/>
  <c r="AK65" i="4"/>
  <c r="AK66" i="4"/>
  <c r="AK67" i="4"/>
  <c r="AK68" i="4"/>
  <c r="AK64" i="4"/>
  <c r="AK62" i="4"/>
  <c r="AK57" i="4"/>
  <c r="AK58" i="4"/>
  <c r="AK59" i="4"/>
  <c r="AK60" i="4"/>
  <c r="AK61" i="4"/>
  <c r="AK56" i="4"/>
  <c r="AP62" i="4"/>
  <c r="AP57" i="4"/>
  <c r="AP58" i="4"/>
  <c r="AP59" i="4"/>
  <c r="AP60" i="4"/>
  <c r="AP61" i="4"/>
  <c r="AP56" i="4"/>
  <c r="AK54" i="4"/>
  <c r="AK37" i="4"/>
  <c r="AK39" i="4"/>
  <c r="AK40" i="4"/>
  <c r="AK41" i="4"/>
  <c r="AK43" i="4"/>
  <c r="AK44" i="4"/>
  <c r="AK45" i="4"/>
  <c r="AK46" i="4"/>
  <c r="AK47" i="4"/>
  <c r="AK48" i="4"/>
  <c r="AK49" i="4"/>
  <c r="AK50" i="4"/>
  <c r="AK53" i="4"/>
  <c r="AK36" i="4"/>
  <c r="AP54" i="4"/>
  <c r="AP37" i="4"/>
  <c r="AP39" i="4"/>
  <c r="AP40" i="4"/>
  <c r="AP41" i="4"/>
  <c r="AP43" i="4"/>
  <c r="AP44" i="4"/>
  <c r="AP45" i="4"/>
  <c r="AP46" i="4"/>
  <c r="AP47" i="4"/>
  <c r="AP48" i="4"/>
  <c r="AP49" i="4"/>
  <c r="AP50" i="4"/>
  <c r="AP53" i="4"/>
  <c r="AP36" i="4"/>
  <c r="AP34" i="4"/>
  <c r="AP33" i="4"/>
  <c r="AP32" i="4"/>
  <c r="AP31" i="4"/>
  <c r="AP28" i="4"/>
  <c r="AP29" i="4"/>
  <c r="AP27" i="4"/>
  <c r="AK32" i="4"/>
  <c r="AK33" i="4"/>
  <c r="AK34" i="4"/>
  <c r="AK31" i="4"/>
  <c r="AK29" i="4"/>
  <c r="AK28" i="4"/>
  <c r="AK27" i="4"/>
  <c r="AK25" i="4"/>
  <c r="AK22" i="4"/>
  <c r="AK20" i="4"/>
  <c r="AK19" i="4"/>
  <c r="AK18" i="4"/>
  <c r="AK16" i="4"/>
  <c r="AK14" i="4"/>
  <c r="AK12" i="4"/>
  <c r="AK10" i="4"/>
  <c r="AK11" i="4"/>
  <c r="AK9" i="4"/>
  <c r="AV76" i="4"/>
  <c r="AV73" i="4"/>
  <c r="AV72" i="4"/>
  <c r="AV71" i="4"/>
  <c r="AV68" i="4"/>
  <c r="AV67" i="4"/>
  <c r="AV66" i="4"/>
  <c r="AV65" i="4"/>
  <c r="AV64" i="4"/>
  <c r="AV61" i="4"/>
  <c r="AV60" i="4"/>
  <c r="AV59" i="4"/>
  <c r="AV58" i="4"/>
  <c r="AV57" i="4"/>
  <c r="AV56" i="4"/>
  <c r="AV53" i="4"/>
  <c r="AV50" i="4"/>
  <c r="AV49" i="4"/>
  <c r="AV48" i="4"/>
  <c r="AV47" i="4"/>
  <c r="AV46" i="4"/>
  <c r="AV45" i="4"/>
  <c r="AV44" i="4"/>
  <c r="AV43" i="4"/>
  <c r="AV41" i="4"/>
  <c r="AV40" i="4"/>
  <c r="AV39" i="4"/>
  <c r="AV37" i="4"/>
  <c r="AV36" i="4"/>
  <c r="AV33" i="4"/>
  <c r="AV32" i="4"/>
  <c r="AV31" i="4"/>
  <c r="AV28" i="4"/>
  <c r="AV27" i="4"/>
  <c r="AV24" i="4"/>
  <c r="AV23" i="4"/>
  <c r="AV22" i="4"/>
  <c r="AV19" i="4"/>
  <c r="AV18" i="4"/>
  <c r="AV15" i="4"/>
  <c r="AV14" i="4"/>
  <c r="AV11" i="4"/>
  <c r="AV10" i="4"/>
  <c r="AV9" i="4"/>
  <c r="AU77" i="4"/>
  <c r="AU76" i="4"/>
  <c r="AU72" i="4"/>
  <c r="AU73" i="4"/>
  <c r="AU74" i="4"/>
  <c r="AU71" i="4"/>
  <c r="AU69" i="4"/>
  <c r="AU65" i="4"/>
  <c r="AU66" i="4"/>
  <c r="AU67" i="4"/>
  <c r="AU68" i="4"/>
  <c r="AU64" i="4"/>
  <c r="AU62" i="4"/>
  <c r="AU57" i="4"/>
  <c r="AU58" i="4"/>
  <c r="AU59" i="4"/>
  <c r="AU60" i="4"/>
  <c r="AU61" i="4"/>
  <c r="AU56" i="4"/>
  <c r="AU54" i="4"/>
  <c r="AU37" i="4"/>
  <c r="AU39" i="4"/>
  <c r="AU40" i="4"/>
  <c r="AU41" i="4"/>
  <c r="AU43" i="4"/>
  <c r="AU44" i="4"/>
  <c r="AU45" i="4"/>
  <c r="AU46" i="4"/>
  <c r="AU47" i="4"/>
  <c r="AU48" i="4"/>
  <c r="AU49" i="4"/>
  <c r="AU50" i="4"/>
  <c r="AU53" i="4"/>
  <c r="AU36" i="4"/>
  <c r="AU32" i="4"/>
  <c r="AU33" i="4"/>
  <c r="AU34" i="4"/>
  <c r="AU31" i="4"/>
  <c r="AU28" i="4"/>
  <c r="AU29" i="4"/>
  <c r="AU27" i="4"/>
  <c r="AU23" i="4"/>
  <c r="AU24" i="4"/>
  <c r="AU25" i="4"/>
  <c r="AU22" i="4"/>
  <c r="AP23" i="4"/>
  <c r="AP24" i="4"/>
  <c r="AP25" i="4"/>
  <c r="AP22" i="4"/>
  <c r="AP19" i="4"/>
  <c r="AP20" i="4"/>
  <c r="AP18" i="4"/>
  <c r="AP15" i="4"/>
  <c r="AP16" i="4"/>
  <c r="AP14" i="4"/>
  <c r="AP12" i="4"/>
  <c r="AP10" i="4"/>
  <c r="AP11" i="4"/>
  <c r="AP9" i="4"/>
  <c r="AU19" i="4"/>
  <c r="AU20" i="4"/>
  <c r="AU18" i="4"/>
  <c r="AU16" i="4"/>
  <c r="AU15" i="4"/>
  <c r="AU14" i="4"/>
  <c r="AU12" i="4"/>
  <c r="AU10" i="4"/>
  <c r="AU11" i="4"/>
  <c r="AU9" i="4"/>
  <c r="AU7" i="4"/>
  <c r="AP7" i="4"/>
  <c r="AP6" i="4"/>
  <c r="AK7" i="4"/>
  <c r="AK6" i="4"/>
  <c r="AE7" i="4"/>
  <c r="AE6" i="4"/>
  <c r="Z7" i="4"/>
  <c r="Z6" i="4"/>
  <c r="V76" i="4"/>
  <c r="V73" i="4"/>
  <c r="V72" i="4"/>
  <c r="V71" i="4"/>
  <c r="V68" i="4"/>
  <c r="V67" i="4"/>
  <c r="V66" i="4"/>
  <c r="V65" i="4"/>
  <c r="V64" i="4"/>
  <c r="V61" i="4"/>
  <c r="V60" i="4"/>
  <c r="V59" i="4"/>
  <c r="V58" i="4"/>
  <c r="V57" i="4"/>
  <c r="V56" i="4"/>
  <c r="V53" i="4"/>
  <c r="V50" i="4"/>
  <c r="V49" i="4"/>
  <c r="V48" i="4"/>
  <c r="V47" i="4"/>
  <c r="V46" i="4"/>
  <c r="V45" i="4"/>
  <c r="V44" i="4"/>
  <c r="V43" i="4"/>
  <c r="V41" i="4"/>
  <c r="V40" i="4"/>
  <c r="V39" i="4"/>
  <c r="V37" i="4"/>
  <c r="V36" i="4"/>
  <c r="V33" i="4"/>
  <c r="V32" i="4"/>
  <c r="V31" i="4"/>
  <c r="V28" i="4"/>
  <c r="V27" i="4"/>
  <c r="V24" i="4"/>
  <c r="V23" i="4"/>
  <c r="V22" i="4"/>
  <c r="V19" i="4"/>
  <c r="V18" i="4"/>
  <c r="V15" i="4"/>
  <c r="V14" i="4"/>
  <c r="V11" i="4"/>
  <c r="V10" i="4"/>
  <c r="V9" i="4"/>
  <c r="V6" i="4"/>
  <c r="U77" i="4"/>
  <c r="U76" i="4"/>
  <c r="U74" i="4"/>
  <c r="U72" i="4"/>
  <c r="U73" i="4"/>
  <c r="U71" i="4"/>
  <c r="U65" i="4"/>
  <c r="U66" i="4"/>
  <c r="U67" i="4"/>
  <c r="U68" i="4"/>
  <c r="U69" i="4"/>
  <c r="U64" i="4"/>
  <c r="U57" i="4"/>
  <c r="U58" i="4"/>
  <c r="U59" i="4"/>
  <c r="U60" i="4"/>
  <c r="U61" i="4"/>
  <c r="U62" i="4"/>
  <c r="U56" i="4"/>
  <c r="U54" i="4"/>
  <c r="U37" i="4"/>
  <c r="U39" i="4"/>
  <c r="U40" i="4"/>
  <c r="U41" i="4"/>
  <c r="U43" i="4"/>
  <c r="U44" i="4"/>
  <c r="U45" i="4"/>
  <c r="U46" i="4"/>
  <c r="U47" i="4"/>
  <c r="U48" i="4"/>
  <c r="U49" i="4"/>
  <c r="U50" i="4"/>
  <c r="U53" i="4"/>
  <c r="U36" i="4"/>
  <c r="U34" i="4"/>
  <c r="U32" i="4"/>
  <c r="U33" i="4"/>
  <c r="U31" i="4"/>
  <c r="U29" i="4"/>
  <c r="U28" i="4"/>
  <c r="U27" i="4"/>
  <c r="U25" i="4"/>
  <c r="U23" i="4"/>
  <c r="U24" i="4"/>
  <c r="U22" i="4"/>
  <c r="U20" i="4"/>
  <c r="U19" i="4"/>
  <c r="U18" i="4"/>
  <c r="U16" i="4"/>
  <c r="U15" i="4"/>
  <c r="U14" i="4"/>
  <c r="U12" i="4"/>
  <c r="U10" i="4"/>
  <c r="U11" i="4"/>
  <c r="U9" i="4"/>
  <c r="U7" i="4"/>
  <c r="U6" i="4"/>
  <c r="O20" i="4"/>
  <c r="O16" i="4"/>
  <c r="O12" i="4"/>
  <c r="O7" i="4"/>
  <c r="O25" i="4"/>
  <c r="O29" i="4"/>
  <c r="O34" i="4"/>
  <c r="O54" i="4"/>
  <c r="O62" i="4"/>
  <c r="O69" i="4"/>
  <c r="O74" i="4"/>
  <c r="O77" i="4"/>
  <c r="K76" i="4"/>
  <c r="K72" i="4"/>
  <c r="K73" i="4"/>
  <c r="K71" i="4"/>
  <c r="K65" i="4"/>
  <c r="K66" i="4"/>
  <c r="K67" i="4"/>
  <c r="K68" i="4"/>
  <c r="K64" i="4"/>
  <c r="K57" i="4"/>
  <c r="K58" i="4"/>
  <c r="K59" i="4"/>
  <c r="K60" i="4"/>
  <c r="K61" i="4"/>
  <c r="K56" i="4"/>
  <c r="K37" i="4"/>
  <c r="K39" i="4"/>
  <c r="K40" i="4"/>
  <c r="K41" i="4"/>
  <c r="K43" i="4"/>
  <c r="K44" i="4"/>
  <c r="K45" i="4"/>
  <c r="K46" i="4"/>
  <c r="K47" i="4"/>
  <c r="K48" i="4"/>
  <c r="K49" i="4"/>
  <c r="K50" i="4"/>
  <c r="K53" i="4"/>
  <c r="K36" i="4"/>
  <c r="K32" i="4"/>
  <c r="K33" i="4"/>
  <c r="K31" i="4"/>
  <c r="K28" i="4"/>
  <c r="K27" i="4"/>
  <c r="K23" i="4"/>
  <c r="K24" i="4"/>
  <c r="K22" i="4"/>
  <c r="K19" i="4"/>
  <c r="K18" i="4"/>
  <c r="K15" i="4"/>
  <c r="K14" i="4"/>
  <c r="F76" i="4"/>
  <c r="F72" i="4"/>
  <c r="F73" i="4"/>
  <c r="F71" i="4"/>
  <c r="F65" i="4"/>
  <c r="F66" i="4"/>
  <c r="F67" i="4"/>
  <c r="F68" i="4"/>
  <c r="F64" i="4"/>
  <c r="F57" i="4"/>
  <c r="F58" i="4"/>
  <c r="F59" i="4"/>
  <c r="F60" i="4"/>
  <c r="F61" i="4"/>
  <c r="F56" i="4"/>
  <c r="F37" i="4"/>
  <c r="F39" i="4"/>
  <c r="F40" i="4"/>
  <c r="F41" i="4"/>
  <c r="F43" i="4"/>
  <c r="F44" i="4"/>
  <c r="F45" i="4"/>
  <c r="F46" i="4"/>
  <c r="F47" i="4"/>
  <c r="F48" i="4"/>
  <c r="F49" i="4"/>
  <c r="F50" i="4"/>
  <c r="F53" i="4"/>
  <c r="F36" i="4"/>
  <c r="F32" i="4"/>
  <c r="F33" i="4"/>
  <c r="F31" i="4"/>
  <c r="F28" i="4"/>
  <c r="F27" i="4"/>
  <c r="F23" i="4"/>
  <c r="F24" i="4"/>
  <c r="F22" i="4"/>
  <c r="F19" i="4"/>
  <c r="F18" i="4"/>
  <c r="F15" i="4"/>
  <c r="F14" i="4"/>
  <c r="E7" i="4"/>
  <c r="E12" i="4"/>
  <c r="F10" i="4"/>
  <c r="F11" i="4"/>
  <c r="F9" i="4"/>
  <c r="F6" i="4"/>
  <c r="P76" i="4"/>
  <c r="P73" i="4"/>
  <c r="P72" i="4"/>
  <c r="P71" i="4"/>
  <c r="P68" i="4"/>
  <c r="P67" i="4"/>
  <c r="P66" i="4"/>
  <c r="P65" i="4"/>
  <c r="P64" i="4"/>
  <c r="P61" i="4"/>
  <c r="P60" i="4"/>
  <c r="P59" i="4"/>
  <c r="P58" i="4"/>
  <c r="P57" i="4"/>
  <c r="P56" i="4"/>
  <c r="P53" i="4"/>
  <c r="P50" i="4"/>
  <c r="P49" i="4"/>
  <c r="P48" i="4"/>
  <c r="P47" i="4"/>
  <c r="P46" i="4"/>
  <c r="P45" i="4"/>
  <c r="P44" i="4"/>
  <c r="P43" i="4"/>
  <c r="P41" i="4"/>
  <c r="P40" i="4"/>
  <c r="P39" i="4"/>
  <c r="P37" i="4"/>
  <c r="P36" i="4"/>
  <c r="P33" i="4"/>
  <c r="P32" i="4"/>
  <c r="P31" i="4"/>
  <c r="P28" i="4"/>
  <c r="P27" i="4"/>
  <c r="O76" i="4"/>
  <c r="O72" i="4"/>
  <c r="O73" i="4"/>
  <c r="O71" i="4"/>
  <c r="O65" i="4"/>
  <c r="O66" i="4"/>
  <c r="O67" i="4"/>
  <c r="O68" i="4"/>
  <c r="O64" i="4"/>
  <c r="O57" i="4"/>
  <c r="O58" i="4"/>
  <c r="O59" i="4"/>
  <c r="O60" i="4"/>
  <c r="O61" i="4"/>
  <c r="O56" i="4"/>
  <c r="O37" i="4"/>
  <c r="O39" i="4"/>
  <c r="O40" i="4"/>
  <c r="O41" i="4"/>
  <c r="O43" i="4"/>
  <c r="O44" i="4"/>
  <c r="O45" i="4"/>
  <c r="O46" i="4"/>
  <c r="O47" i="4"/>
  <c r="O48" i="4"/>
  <c r="O49" i="4"/>
  <c r="O50" i="4"/>
  <c r="O53" i="4"/>
  <c r="O36" i="4"/>
  <c r="O32" i="4"/>
  <c r="O33" i="4"/>
  <c r="O31" i="4"/>
  <c r="O28" i="4"/>
  <c r="O27" i="4"/>
  <c r="P24" i="4"/>
  <c r="P23" i="4"/>
  <c r="P22" i="4"/>
  <c r="O23" i="4"/>
  <c r="O24" i="4"/>
  <c r="O22" i="4"/>
  <c r="P19" i="4"/>
  <c r="P18" i="4"/>
  <c r="O19" i="4"/>
  <c r="O18" i="4"/>
  <c r="P15" i="4"/>
  <c r="P14" i="4"/>
  <c r="O15" i="4"/>
  <c r="O14" i="4"/>
  <c r="P10" i="4"/>
  <c r="P11" i="4"/>
  <c r="P9" i="4"/>
  <c r="O10" i="4"/>
  <c r="O11" i="4"/>
  <c r="O9" i="4"/>
  <c r="P6" i="4"/>
  <c r="O6" i="4"/>
  <c r="R81" i="46"/>
  <c r="AV77" i="4" s="1"/>
  <c r="F14" i="50" s="1"/>
  <c r="R78" i="46"/>
  <c r="AV74" i="4" s="1"/>
  <c r="F13" i="50" s="1"/>
  <c r="R73" i="46"/>
  <c r="AV69" i="4" s="1"/>
  <c r="F12" i="50" s="1"/>
  <c r="R66" i="46"/>
  <c r="AV62" i="4" s="1"/>
  <c r="F11" i="50" s="1"/>
  <c r="R58" i="46"/>
  <c r="AV54" i="4" s="1"/>
  <c r="F10" i="50" s="1"/>
  <c r="R39" i="46"/>
  <c r="AV34" i="4" s="1"/>
  <c r="F9" i="50" s="1"/>
  <c r="R34" i="46"/>
  <c r="AV29" i="4" s="1"/>
  <c r="F8" i="50" s="1"/>
  <c r="R30" i="46"/>
  <c r="AV25" i="4" s="1"/>
  <c r="F7" i="50" s="1"/>
  <c r="R25" i="46"/>
  <c r="AV20" i="4" s="1"/>
  <c r="F6" i="50" s="1"/>
  <c r="R21" i="46"/>
  <c r="AV16" i="4" s="1"/>
  <c r="F5" i="50" s="1"/>
  <c r="R17" i="46"/>
  <c r="AV12" i="4" s="1"/>
  <c r="F4" i="50" s="1"/>
  <c r="R12" i="46"/>
  <c r="AV7" i="4" s="1"/>
  <c r="F3" i="50" s="1"/>
  <c r="H81" i="46"/>
  <c r="V77" i="4" s="1"/>
  <c r="H12" i="46"/>
  <c r="V7" i="4" s="1"/>
  <c r="K7" i="4"/>
  <c r="R82" i="44"/>
  <c r="R79" i="44"/>
  <c r="R74" i="44"/>
  <c r="R67" i="44"/>
  <c r="R59" i="44"/>
  <c r="R39" i="44"/>
  <c r="R34" i="44"/>
  <c r="R30" i="44"/>
  <c r="R25" i="44"/>
  <c r="R21" i="44"/>
  <c r="R17" i="44"/>
  <c r="R12" i="44"/>
  <c r="P81" i="46"/>
  <c r="AQ77" i="4" s="1"/>
  <c r="N81" i="46"/>
  <c r="AL77" i="4" s="1"/>
  <c r="L81" i="46"/>
  <c r="AF77" i="4" s="1"/>
  <c r="J81" i="46"/>
  <c r="AA77" i="4" s="1"/>
  <c r="F81" i="46"/>
  <c r="P77" i="4" s="1"/>
  <c r="D81" i="46"/>
  <c r="K77" i="4" s="1"/>
  <c r="B81" i="46"/>
  <c r="F77" i="4" s="1"/>
  <c r="P78" i="46"/>
  <c r="AQ74" i="4" s="1"/>
  <c r="N78" i="46"/>
  <c r="AL74" i="4" s="1"/>
  <c r="L78" i="46"/>
  <c r="AF74" i="4" s="1"/>
  <c r="J78" i="46"/>
  <c r="AA74" i="4" s="1"/>
  <c r="H78" i="46"/>
  <c r="V74" i="4" s="1"/>
  <c r="F78" i="46"/>
  <c r="P74" i="4" s="1"/>
  <c r="D78" i="46"/>
  <c r="K74" i="4" s="1"/>
  <c r="B78" i="46"/>
  <c r="F74" i="4" s="1"/>
  <c r="P73" i="46"/>
  <c r="AQ69" i="4" s="1"/>
  <c r="N73" i="46"/>
  <c r="AL69" i="4" s="1"/>
  <c r="L73" i="46"/>
  <c r="AF69" i="4" s="1"/>
  <c r="J73" i="46"/>
  <c r="AA69" i="4" s="1"/>
  <c r="H73" i="46"/>
  <c r="V69" i="4" s="1"/>
  <c r="F73" i="46"/>
  <c r="P69" i="4" s="1"/>
  <c r="D73" i="46"/>
  <c r="K69" i="4" s="1"/>
  <c r="B73" i="46"/>
  <c r="F69" i="4" s="1"/>
  <c r="P66" i="46"/>
  <c r="AQ62" i="4" s="1"/>
  <c r="N66" i="46"/>
  <c r="AL62" i="4" s="1"/>
  <c r="L66" i="46"/>
  <c r="AF62" i="4" s="1"/>
  <c r="J66" i="46"/>
  <c r="AA62" i="4" s="1"/>
  <c r="F66" i="46"/>
  <c r="P62" i="4" s="1"/>
  <c r="D66" i="46"/>
  <c r="K62" i="4" s="1"/>
  <c r="B66" i="46"/>
  <c r="F62" i="4" s="1"/>
  <c r="P58" i="46"/>
  <c r="AQ54" i="4" s="1"/>
  <c r="N58" i="46"/>
  <c r="AL54" i="4" s="1"/>
  <c r="L58" i="46"/>
  <c r="AF54" i="4" s="1"/>
  <c r="J58" i="46"/>
  <c r="AA54" i="4" s="1"/>
  <c r="V54" i="4"/>
  <c r="F58" i="46"/>
  <c r="P54" i="4" s="1"/>
  <c r="D58" i="46"/>
  <c r="K54" i="4" s="1"/>
  <c r="B58" i="46"/>
  <c r="F54" i="4" s="1"/>
  <c r="P39" i="46"/>
  <c r="AQ34" i="4" s="1"/>
  <c r="N39" i="46"/>
  <c r="AL34" i="4" s="1"/>
  <c r="L39" i="46"/>
  <c r="AF34" i="4" s="1"/>
  <c r="J39" i="46"/>
  <c r="AA34" i="4" s="1"/>
  <c r="H39" i="46"/>
  <c r="V34" i="4" s="1"/>
  <c r="F39" i="46"/>
  <c r="P34" i="4" s="1"/>
  <c r="D39" i="46"/>
  <c r="K34" i="4" s="1"/>
  <c r="B39" i="46"/>
  <c r="F34" i="4" s="1"/>
  <c r="P34" i="46"/>
  <c r="AQ29" i="4" s="1"/>
  <c r="N34" i="46"/>
  <c r="AL29" i="4" s="1"/>
  <c r="L34" i="46"/>
  <c r="AF29" i="4" s="1"/>
  <c r="J34" i="46"/>
  <c r="AA29" i="4" s="1"/>
  <c r="H34" i="46"/>
  <c r="V29" i="4" s="1"/>
  <c r="F34" i="46"/>
  <c r="P29" i="4" s="1"/>
  <c r="D34" i="46"/>
  <c r="K29" i="4" s="1"/>
  <c r="B34" i="46"/>
  <c r="F29" i="4" s="1"/>
  <c r="P30" i="46"/>
  <c r="AQ25" i="4" s="1"/>
  <c r="N30" i="46"/>
  <c r="AL25" i="4" s="1"/>
  <c r="L30" i="46"/>
  <c r="AF25" i="4" s="1"/>
  <c r="J30" i="46"/>
  <c r="AA25" i="4" s="1"/>
  <c r="H30" i="46"/>
  <c r="V25" i="4" s="1"/>
  <c r="F30" i="46"/>
  <c r="P25" i="4" s="1"/>
  <c r="D30" i="46"/>
  <c r="K25" i="4" s="1"/>
  <c r="B30" i="46"/>
  <c r="F25" i="4" s="1"/>
  <c r="P25" i="46"/>
  <c r="AQ20" i="4" s="1"/>
  <c r="N25" i="46"/>
  <c r="AL20" i="4" s="1"/>
  <c r="L25" i="46"/>
  <c r="AF20" i="4" s="1"/>
  <c r="J25" i="46"/>
  <c r="AA20" i="4" s="1"/>
  <c r="H25" i="46"/>
  <c r="V20" i="4" s="1"/>
  <c r="F25" i="46"/>
  <c r="P20" i="4" s="1"/>
  <c r="D25" i="46"/>
  <c r="K20" i="4" s="1"/>
  <c r="B25" i="46"/>
  <c r="F20" i="4" s="1"/>
  <c r="P21" i="46"/>
  <c r="AQ16" i="4" s="1"/>
  <c r="N21" i="46"/>
  <c r="AL16" i="4" s="1"/>
  <c r="L21" i="46"/>
  <c r="AF16" i="4" s="1"/>
  <c r="J21" i="46"/>
  <c r="AA16" i="4" s="1"/>
  <c r="H21" i="46"/>
  <c r="V16" i="4" s="1"/>
  <c r="F21" i="46"/>
  <c r="P16" i="4" s="1"/>
  <c r="D21" i="46"/>
  <c r="K16" i="4" s="1"/>
  <c r="B21" i="46"/>
  <c r="F16" i="4" s="1"/>
  <c r="P17" i="46"/>
  <c r="AQ12" i="4" s="1"/>
  <c r="N17" i="46"/>
  <c r="AL12" i="4" s="1"/>
  <c r="L17" i="46"/>
  <c r="AF12" i="4" s="1"/>
  <c r="J17" i="46"/>
  <c r="AA12" i="4" s="1"/>
  <c r="F17" i="46"/>
  <c r="P12" i="4" s="1"/>
  <c r="B17" i="46"/>
  <c r="F12" i="4" s="1"/>
  <c r="P12" i="46"/>
  <c r="AQ7" i="4" s="1"/>
  <c r="N12" i="46"/>
  <c r="AL7" i="4" s="1"/>
  <c r="L12" i="46"/>
  <c r="AF7" i="4" s="1"/>
  <c r="J12" i="46"/>
  <c r="AA7" i="4" s="1"/>
  <c r="F12" i="46"/>
  <c r="P7" i="4" s="1"/>
  <c r="B12" i="46"/>
  <c r="F7" i="4" s="1"/>
  <c r="P82" i="44"/>
  <c r="P79" i="44"/>
  <c r="P74" i="44"/>
  <c r="P67" i="44"/>
  <c r="P59" i="44"/>
  <c r="P39" i="44"/>
  <c r="P34" i="44"/>
  <c r="P30" i="44"/>
  <c r="P25" i="44"/>
  <c r="P21" i="44"/>
  <c r="P17" i="44"/>
  <c r="P12" i="44"/>
  <c r="N59" i="44"/>
  <c r="N17" i="44"/>
  <c r="N82" i="44"/>
  <c r="N79" i="44"/>
  <c r="N74" i="44"/>
  <c r="N67" i="44"/>
  <c r="N39" i="44"/>
  <c r="N34" i="44"/>
  <c r="N30" i="44"/>
  <c r="N25" i="44"/>
  <c r="N21" i="44"/>
  <c r="N12" i="44"/>
  <c r="L59" i="44"/>
  <c r="L82" i="44"/>
  <c r="L79" i="44"/>
  <c r="L74" i="44"/>
  <c r="L67" i="44"/>
  <c r="L39" i="44"/>
  <c r="L34" i="44"/>
  <c r="L30" i="44"/>
  <c r="L25" i="44"/>
  <c r="L21" i="44"/>
  <c r="L17" i="44"/>
  <c r="L12" i="44"/>
  <c r="AD6" i="4"/>
  <c r="AO53" i="4"/>
  <c r="I37" i="4"/>
  <c r="I39" i="4"/>
  <c r="I40" i="4"/>
  <c r="I41" i="4"/>
  <c r="I43" i="4"/>
  <c r="I44" i="4"/>
  <c r="I45" i="4"/>
  <c r="I46" i="4"/>
  <c r="I47" i="4"/>
  <c r="I48" i="4"/>
  <c r="I49" i="4"/>
  <c r="I50" i="4"/>
  <c r="I53" i="4"/>
  <c r="D37" i="4"/>
  <c r="D39" i="4"/>
  <c r="D40" i="4"/>
  <c r="D41" i="4"/>
  <c r="D43" i="4"/>
  <c r="D44" i="4"/>
  <c r="D45" i="4"/>
  <c r="D46" i="4"/>
  <c r="D47" i="4"/>
  <c r="D48" i="4"/>
  <c r="D49" i="4"/>
  <c r="D50" i="4"/>
  <c r="D53" i="4"/>
  <c r="N37" i="4"/>
  <c r="N39" i="4"/>
  <c r="N40" i="4"/>
  <c r="N41" i="4"/>
  <c r="N43" i="4"/>
  <c r="N44" i="4"/>
  <c r="N45" i="4"/>
  <c r="N46" i="4"/>
  <c r="N47" i="4"/>
  <c r="N48" i="4"/>
  <c r="N49" i="4"/>
  <c r="N50" i="4"/>
  <c r="N53" i="4"/>
  <c r="T37" i="4"/>
  <c r="T39" i="4"/>
  <c r="T40" i="4"/>
  <c r="T41" i="4"/>
  <c r="T43" i="4"/>
  <c r="T44" i="4"/>
  <c r="T45" i="4"/>
  <c r="T46" i="4"/>
  <c r="T47" i="4"/>
  <c r="T48" i="4"/>
  <c r="T49" i="4"/>
  <c r="T50" i="4"/>
  <c r="T53" i="4"/>
  <c r="Y37" i="4"/>
  <c r="Y39" i="4"/>
  <c r="Y40" i="4"/>
  <c r="Y41" i="4"/>
  <c r="Y43" i="4"/>
  <c r="Y44" i="4"/>
  <c r="Y45" i="4"/>
  <c r="Y46" i="4"/>
  <c r="Y47" i="4"/>
  <c r="Y48" i="4"/>
  <c r="Y49" i="4"/>
  <c r="Y50" i="4"/>
  <c r="Y53" i="4"/>
  <c r="AD37" i="4"/>
  <c r="AD39" i="4"/>
  <c r="AD40" i="4"/>
  <c r="AD41" i="4"/>
  <c r="AD43" i="4"/>
  <c r="AD44" i="4"/>
  <c r="AD45" i="4"/>
  <c r="AD46" i="4"/>
  <c r="AD47" i="4"/>
  <c r="AD48" i="4"/>
  <c r="AD49" i="4"/>
  <c r="AD50" i="4"/>
  <c r="AD53" i="4"/>
  <c r="AJ37" i="4"/>
  <c r="AJ39" i="4"/>
  <c r="AJ40" i="4"/>
  <c r="AJ41" i="4"/>
  <c r="AJ43" i="4"/>
  <c r="AJ44" i="4"/>
  <c r="AJ45" i="4"/>
  <c r="AJ46" i="4"/>
  <c r="AJ47" i="4"/>
  <c r="AJ48" i="4"/>
  <c r="AJ49" i="4"/>
  <c r="AJ50" i="4"/>
  <c r="AJ53" i="4"/>
  <c r="AO37" i="4"/>
  <c r="AO39" i="4"/>
  <c r="AO40" i="4"/>
  <c r="AO41" i="4"/>
  <c r="AO43" i="4"/>
  <c r="AO44" i="4"/>
  <c r="AO45" i="4"/>
  <c r="AO46" i="4"/>
  <c r="AO47" i="4"/>
  <c r="AO48" i="4"/>
  <c r="AO49" i="4"/>
  <c r="AO50" i="4"/>
  <c r="AT37" i="4"/>
  <c r="AT39" i="4"/>
  <c r="AT40" i="4"/>
  <c r="AT41" i="4"/>
  <c r="AT43" i="4"/>
  <c r="AT44" i="4"/>
  <c r="AT45" i="4"/>
  <c r="AT46" i="4"/>
  <c r="AT47" i="4"/>
  <c r="AT48" i="4"/>
  <c r="AT49" i="4"/>
  <c r="AT50" i="4"/>
  <c r="AT53" i="4"/>
  <c r="R59" i="3"/>
  <c r="AT54" i="4"/>
  <c r="AT36" i="4"/>
  <c r="P59" i="3"/>
  <c r="AO54" i="4"/>
  <c r="AO36" i="4"/>
  <c r="N59" i="3"/>
  <c r="AJ54" i="4"/>
  <c r="AJ36" i="4"/>
  <c r="L59" i="3"/>
  <c r="AD54" i="4"/>
  <c r="AD36" i="4"/>
  <c r="J59" i="3"/>
  <c r="Y54" i="4"/>
  <c r="Y36" i="4"/>
  <c r="H59" i="3"/>
  <c r="T54" i="4"/>
  <c r="T36" i="4"/>
  <c r="F59" i="3"/>
  <c r="N54" i="4"/>
  <c r="N36" i="4"/>
  <c r="D59" i="3"/>
  <c r="I54" i="4"/>
  <c r="I36" i="4"/>
  <c r="B59" i="3"/>
  <c r="D54" i="4"/>
  <c r="D36" i="4"/>
  <c r="C37" i="4"/>
  <c r="C39" i="4"/>
  <c r="C40" i="4"/>
  <c r="C41" i="4"/>
  <c r="C43" i="4"/>
  <c r="C44" i="4"/>
  <c r="C45" i="4"/>
  <c r="C46" i="4"/>
  <c r="C47" i="4"/>
  <c r="C48" i="4"/>
  <c r="C49" i="4"/>
  <c r="C50" i="4"/>
  <c r="C53" i="4"/>
  <c r="H37" i="4"/>
  <c r="H39" i="4"/>
  <c r="H40" i="4"/>
  <c r="H41" i="4"/>
  <c r="H43" i="4"/>
  <c r="H44" i="4"/>
  <c r="H45" i="4"/>
  <c r="H46" i="4"/>
  <c r="H47" i="4"/>
  <c r="H48" i="4"/>
  <c r="H49" i="4"/>
  <c r="H50" i="4"/>
  <c r="H53" i="4"/>
  <c r="M37" i="4"/>
  <c r="M39" i="4"/>
  <c r="M40" i="4"/>
  <c r="M41" i="4"/>
  <c r="M43" i="4"/>
  <c r="M44" i="4"/>
  <c r="M45" i="4"/>
  <c r="M46" i="4"/>
  <c r="M47" i="4"/>
  <c r="M48" i="4"/>
  <c r="M49" i="4"/>
  <c r="M50" i="4"/>
  <c r="M53" i="4"/>
  <c r="S37" i="4"/>
  <c r="S39" i="4"/>
  <c r="S40" i="4"/>
  <c r="S41" i="4"/>
  <c r="S43" i="4"/>
  <c r="S44" i="4"/>
  <c r="S45" i="4"/>
  <c r="S46" i="4"/>
  <c r="S47" i="4"/>
  <c r="S48" i="4"/>
  <c r="S49" i="4"/>
  <c r="S50" i="4"/>
  <c r="S53" i="4"/>
  <c r="X37" i="4"/>
  <c r="X39" i="4"/>
  <c r="X40" i="4"/>
  <c r="X41" i="4"/>
  <c r="X43" i="4"/>
  <c r="X44" i="4"/>
  <c r="X45" i="4"/>
  <c r="X46" i="4"/>
  <c r="X47" i="4"/>
  <c r="X48" i="4"/>
  <c r="X49" i="4"/>
  <c r="X50" i="4"/>
  <c r="X53" i="4"/>
  <c r="AC37" i="4"/>
  <c r="AC39" i="4"/>
  <c r="AC40" i="4"/>
  <c r="AC41" i="4"/>
  <c r="AC43" i="4"/>
  <c r="AC44" i="4"/>
  <c r="AC45" i="4"/>
  <c r="AC46" i="4"/>
  <c r="AC47" i="4"/>
  <c r="AC48" i="4"/>
  <c r="AC49" i="4"/>
  <c r="AC50" i="4"/>
  <c r="AC53" i="4"/>
  <c r="AI37" i="4"/>
  <c r="AI39" i="4"/>
  <c r="AI40" i="4"/>
  <c r="AI41" i="4"/>
  <c r="AI43" i="4"/>
  <c r="AI44" i="4"/>
  <c r="AI45" i="4"/>
  <c r="AI46" i="4"/>
  <c r="AI47" i="4"/>
  <c r="AI48" i="4"/>
  <c r="AI49" i="4"/>
  <c r="AI50" i="4"/>
  <c r="AI53" i="4"/>
  <c r="AN37" i="4"/>
  <c r="AN39" i="4"/>
  <c r="AN40" i="4"/>
  <c r="AN41" i="4"/>
  <c r="AN43" i="4"/>
  <c r="AN44" i="4"/>
  <c r="AN45" i="4"/>
  <c r="AN46" i="4"/>
  <c r="AN47" i="4"/>
  <c r="AN48" i="4"/>
  <c r="AN49" i="4"/>
  <c r="AN50" i="4"/>
  <c r="AN53" i="4"/>
  <c r="AS37" i="4"/>
  <c r="AS39" i="4"/>
  <c r="AS40" i="4"/>
  <c r="AS41" i="4"/>
  <c r="AS43" i="4"/>
  <c r="AS44" i="4"/>
  <c r="AS45" i="4"/>
  <c r="AS46" i="4"/>
  <c r="AS47" i="4"/>
  <c r="AS48" i="4"/>
  <c r="AS49" i="4"/>
  <c r="AS50" i="4"/>
  <c r="AS53" i="4"/>
  <c r="AS36" i="4"/>
  <c r="AN54" i="4"/>
  <c r="AN36" i="4"/>
  <c r="AI36" i="4"/>
  <c r="AC36" i="4"/>
  <c r="X36" i="4"/>
  <c r="S36" i="4"/>
  <c r="M36" i="4"/>
  <c r="H54" i="4"/>
  <c r="H36" i="4"/>
  <c r="C36" i="4"/>
  <c r="J52" i="2"/>
  <c r="X54" i="4"/>
  <c r="H52" i="2"/>
  <c r="S54" i="4"/>
  <c r="F52" i="2"/>
  <c r="M54" i="4"/>
  <c r="D52" i="2"/>
  <c r="B52" i="2"/>
  <c r="C54" i="4"/>
  <c r="L52" i="2"/>
  <c r="AC54" i="4"/>
  <c r="N52" i="2"/>
  <c r="AI54" i="4"/>
  <c r="P52" i="2"/>
  <c r="R52" i="2"/>
  <c r="AS54" i="4"/>
  <c r="AR37" i="4"/>
  <c r="AR39" i="4"/>
  <c r="AR40" i="4"/>
  <c r="AR41" i="4"/>
  <c r="AR43" i="4"/>
  <c r="AR44" i="4"/>
  <c r="AR45" i="4"/>
  <c r="AR46" i="4"/>
  <c r="AR47" i="4"/>
  <c r="AR48" i="4"/>
  <c r="AR49" i="4"/>
  <c r="AR50" i="4"/>
  <c r="AR53" i="4"/>
  <c r="AM37" i="4"/>
  <c r="AM39" i="4"/>
  <c r="AM40" i="4"/>
  <c r="AM41" i="4"/>
  <c r="AM43" i="4"/>
  <c r="AM44" i="4"/>
  <c r="AM45" i="4"/>
  <c r="AM46" i="4"/>
  <c r="AM47" i="4"/>
  <c r="AM48" i="4"/>
  <c r="AM49" i="4"/>
  <c r="AM50" i="4"/>
  <c r="AM53" i="4"/>
  <c r="AR36" i="4"/>
  <c r="AM36" i="4"/>
  <c r="AH37" i="4"/>
  <c r="AH39" i="4"/>
  <c r="AH40" i="4"/>
  <c r="AH41" i="4"/>
  <c r="AH43" i="4"/>
  <c r="AH44" i="4"/>
  <c r="AH45" i="4"/>
  <c r="AH46" i="4"/>
  <c r="AH47" i="4"/>
  <c r="AH48" i="4"/>
  <c r="AH49" i="4"/>
  <c r="AH50" i="4"/>
  <c r="AH53" i="4"/>
  <c r="AH36" i="4"/>
  <c r="AB37" i="4"/>
  <c r="AB39" i="4"/>
  <c r="AB40" i="4"/>
  <c r="AB41" i="4"/>
  <c r="AB43" i="4"/>
  <c r="AB44" i="4"/>
  <c r="AB45" i="4"/>
  <c r="AB46" i="4"/>
  <c r="AB47" i="4"/>
  <c r="AB48" i="4"/>
  <c r="AB49" i="4"/>
  <c r="AB50" i="4"/>
  <c r="AB53" i="4"/>
  <c r="W37" i="4"/>
  <c r="W39" i="4"/>
  <c r="W40" i="4"/>
  <c r="W41" i="4"/>
  <c r="W43" i="4"/>
  <c r="W44" i="4"/>
  <c r="W45" i="4"/>
  <c r="W46" i="4"/>
  <c r="W47" i="4"/>
  <c r="W48" i="4"/>
  <c r="W49" i="4"/>
  <c r="W50" i="4"/>
  <c r="W53" i="4"/>
  <c r="W36" i="4"/>
  <c r="AB36" i="4"/>
  <c r="R37" i="4"/>
  <c r="R39" i="4"/>
  <c r="R40" i="4"/>
  <c r="R41" i="4"/>
  <c r="R43" i="4"/>
  <c r="R44" i="4"/>
  <c r="R45" i="4"/>
  <c r="R46" i="4"/>
  <c r="R47" i="4"/>
  <c r="R48" i="4"/>
  <c r="R49" i="4"/>
  <c r="R50" i="4"/>
  <c r="R53" i="4"/>
  <c r="R36" i="4"/>
  <c r="L37" i="4"/>
  <c r="L39" i="4"/>
  <c r="L40" i="4"/>
  <c r="L41" i="4"/>
  <c r="L43" i="4"/>
  <c r="L44" i="4"/>
  <c r="L45" i="4"/>
  <c r="L46" i="4"/>
  <c r="L47" i="4"/>
  <c r="L48" i="4"/>
  <c r="L49" i="4"/>
  <c r="L50" i="4"/>
  <c r="L53" i="4"/>
  <c r="L36" i="4"/>
  <c r="G37" i="4"/>
  <c r="G39" i="4"/>
  <c r="G40" i="4"/>
  <c r="G41" i="4"/>
  <c r="G43" i="4"/>
  <c r="G44" i="4"/>
  <c r="G45" i="4"/>
  <c r="G46" i="4"/>
  <c r="G47" i="4"/>
  <c r="G48" i="4"/>
  <c r="G49" i="4"/>
  <c r="G50" i="4"/>
  <c r="G53" i="4"/>
  <c r="G36" i="4"/>
  <c r="B37" i="4"/>
  <c r="B39" i="4"/>
  <c r="B40" i="4"/>
  <c r="B41" i="4"/>
  <c r="B43" i="4"/>
  <c r="B44" i="4"/>
  <c r="B45" i="4"/>
  <c r="B46" i="4"/>
  <c r="B47" i="4"/>
  <c r="B48" i="4"/>
  <c r="B49" i="4"/>
  <c r="B50" i="4"/>
  <c r="B53" i="4"/>
  <c r="B36" i="4"/>
  <c r="R52" i="1"/>
  <c r="AR54" i="4"/>
  <c r="P52" i="1"/>
  <c r="AM54" i="4"/>
  <c r="D52" i="1"/>
  <c r="G54" i="4"/>
  <c r="F52" i="1"/>
  <c r="L54" i="4"/>
  <c r="H52" i="1"/>
  <c r="R54" i="4"/>
  <c r="J52" i="1"/>
  <c r="W54" i="4"/>
  <c r="L52" i="1"/>
  <c r="AB54" i="4"/>
  <c r="N52" i="1"/>
  <c r="AH54" i="4"/>
  <c r="B52" i="1"/>
  <c r="B54" i="4"/>
  <c r="H59" i="44"/>
  <c r="F59" i="44"/>
  <c r="D59" i="44"/>
  <c r="B59" i="44"/>
  <c r="E54" i="4"/>
  <c r="E37" i="4"/>
  <c r="E39" i="4"/>
  <c r="E40" i="4"/>
  <c r="E41" i="4"/>
  <c r="E43" i="4"/>
  <c r="E44" i="4"/>
  <c r="E45" i="4"/>
  <c r="E46" i="4"/>
  <c r="E47" i="4"/>
  <c r="E48" i="4"/>
  <c r="E49" i="4"/>
  <c r="E50" i="4"/>
  <c r="E53" i="4"/>
  <c r="E36" i="4"/>
  <c r="J59" i="44"/>
  <c r="J12" i="44"/>
  <c r="J17" i="44"/>
  <c r="J21" i="44"/>
  <c r="J25" i="44"/>
  <c r="J30" i="44"/>
  <c r="J34" i="44"/>
  <c r="J39" i="44"/>
  <c r="J67" i="44"/>
  <c r="J74" i="44"/>
  <c r="J79" i="44"/>
  <c r="J82" i="44"/>
  <c r="H79" i="44"/>
  <c r="H74" i="44"/>
  <c r="H67" i="44"/>
  <c r="H39" i="44"/>
  <c r="H34" i="44"/>
  <c r="H30" i="44"/>
  <c r="H25" i="44"/>
  <c r="H21" i="44"/>
  <c r="H17" i="44"/>
  <c r="AK23" i="4"/>
  <c r="AK24" i="4"/>
  <c r="AK15" i="4"/>
  <c r="F82" i="44"/>
  <c r="F79" i="44"/>
  <c r="F74" i="44"/>
  <c r="F67" i="44"/>
  <c r="F39" i="44"/>
  <c r="F34" i="44"/>
  <c r="F30" i="44"/>
  <c r="F25" i="44"/>
  <c r="F21" i="44"/>
  <c r="F17" i="44"/>
  <c r="D82" i="44"/>
  <c r="D79" i="44"/>
  <c r="D74" i="44"/>
  <c r="D67" i="44"/>
  <c r="D39" i="44"/>
  <c r="D34" i="44"/>
  <c r="D30" i="44"/>
  <c r="D25" i="44"/>
  <c r="D21" i="44"/>
  <c r="D17" i="44"/>
  <c r="F12" i="44"/>
  <c r="E6" i="4"/>
  <c r="E10" i="4"/>
  <c r="E11" i="4"/>
  <c r="E15" i="4"/>
  <c r="E19" i="4"/>
  <c r="E23" i="4"/>
  <c r="E24" i="4"/>
  <c r="E28" i="4"/>
  <c r="E32" i="4"/>
  <c r="E33" i="4"/>
  <c r="E57" i="4"/>
  <c r="E58" i="4"/>
  <c r="E59" i="4"/>
  <c r="E60" i="4"/>
  <c r="E61" i="4"/>
  <c r="E65" i="4"/>
  <c r="E66" i="4"/>
  <c r="E67" i="4"/>
  <c r="E68" i="4"/>
  <c r="E72" i="4"/>
  <c r="E73" i="4"/>
  <c r="B82" i="44"/>
  <c r="E77" i="4"/>
  <c r="E76" i="4"/>
  <c r="B79" i="44"/>
  <c r="E74" i="4"/>
  <c r="E71" i="4"/>
  <c r="B74" i="44"/>
  <c r="E69" i="4"/>
  <c r="E64" i="4"/>
  <c r="B67" i="44"/>
  <c r="E62" i="4"/>
  <c r="E56" i="4"/>
  <c r="B39" i="44"/>
  <c r="E34" i="4"/>
  <c r="E31" i="4"/>
  <c r="B34" i="44"/>
  <c r="E29" i="4"/>
  <c r="E27" i="4"/>
  <c r="B30" i="44"/>
  <c r="E25" i="4"/>
  <c r="E22" i="4"/>
  <c r="B25" i="44"/>
  <c r="E20" i="4"/>
  <c r="E18" i="4"/>
  <c r="B21" i="44"/>
  <c r="E16" i="4"/>
  <c r="E14" i="4"/>
  <c r="B17" i="44"/>
  <c r="E9" i="4"/>
  <c r="B12" i="44"/>
  <c r="AT72" i="4"/>
  <c r="AT73" i="4"/>
  <c r="AT65" i="4"/>
  <c r="AT66" i="4"/>
  <c r="AT67" i="4"/>
  <c r="AT68" i="4"/>
  <c r="AT57" i="4"/>
  <c r="AT58" i="4"/>
  <c r="AT59" i="4"/>
  <c r="AT60" i="4"/>
  <c r="AT61" i="4"/>
  <c r="AT32" i="4"/>
  <c r="AT33" i="4"/>
  <c r="AT28" i="4"/>
  <c r="AT23" i="4"/>
  <c r="AT24" i="4"/>
  <c r="AT19" i="4"/>
  <c r="AT15" i="4"/>
  <c r="R82" i="3"/>
  <c r="AT77" i="4"/>
  <c r="AT76" i="4"/>
  <c r="R79" i="3"/>
  <c r="AT74" i="4"/>
  <c r="AT71" i="4"/>
  <c r="R74" i="3"/>
  <c r="AT69" i="4"/>
  <c r="AT64" i="4"/>
  <c r="R67" i="3"/>
  <c r="AT62" i="4"/>
  <c r="AT56" i="4"/>
  <c r="R35" i="3"/>
  <c r="AT29" i="4"/>
  <c r="AT34" i="4"/>
  <c r="AT31" i="4"/>
  <c r="AT27" i="4"/>
  <c r="R31" i="3"/>
  <c r="AT25" i="4"/>
  <c r="AT22" i="4"/>
  <c r="R25" i="3"/>
  <c r="AT20" i="4"/>
  <c r="AT18" i="4"/>
  <c r="R21" i="3"/>
  <c r="AT16" i="4"/>
  <c r="AT14" i="4"/>
  <c r="AT10" i="4"/>
  <c r="AT11" i="4"/>
  <c r="P17" i="3"/>
  <c r="AT12" i="4"/>
  <c r="AT9" i="4"/>
  <c r="R12" i="3"/>
  <c r="AT7" i="4"/>
  <c r="AT6" i="4"/>
  <c r="P12" i="3"/>
  <c r="AO7" i="4"/>
  <c r="AO6" i="4"/>
  <c r="AO72" i="4"/>
  <c r="AO73" i="4"/>
  <c r="AO65" i="4"/>
  <c r="AO66" i="4"/>
  <c r="AO67" i="4"/>
  <c r="AO68" i="4"/>
  <c r="AO57" i="4"/>
  <c r="AO58" i="4"/>
  <c r="AO59" i="4"/>
  <c r="AO60" i="4"/>
  <c r="AO61" i="4"/>
  <c r="AO32" i="4"/>
  <c r="AO33" i="4"/>
  <c r="AO28" i="4"/>
  <c r="P82" i="3"/>
  <c r="AO77" i="4"/>
  <c r="AO76" i="4"/>
  <c r="P79" i="3"/>
  <c r="AO74" i="4"/>
  <c r="AO71" i="4"/>
  <c r="P74" i="3"/>
  <c r="AO69" i="4"/>
  <c r="AO64" i="4"/>
  <c r="P67" i="3"/>
  <c r="AO62" i="4"/>
  <c r="AO56" i="4"/>
  <c r="P35" i="3"/>
  <c r="AO29" i="4"/>
  <c r="AO34" i="4"/>
  <c r="AO31" i="4"/>
  <c r="AO27" i="4"/>
  <c r="AO23" i="4"/>
  <c r="AO24" i="4"/>
  <c r="P31" i="3"/>
  <c r="AO25" i="4"/>
  <c r="AO22" i="4"/>
  <c r="AO19" i="4"/>
  <c r="P25" i="3"/>
  <c r="AO20" i="4"/>
  <c r="AO18" i="4"/>
  <c r="AO15" i="4"/>
  <c r="P21" i="3"/>
  <c r="AO16" i="4"/>
  <c r="AO14" i="4"/>
  <c r="AO12" i="4"/>
  <c r="AO10" i="4"/>
  <c r="AO11" i="4"/>
  <c r="AO9" i="4"/>
  <c r="R39" i="3"/>
  <c r="P39" i="3"/>
  <c r="R17" i="3"/>
  <c r="R70" i="2"/>
  <c r="P70" i="2"/>
  <c r="T70" i="2"/>
  <c r="N79" i="3"/>
  <c r="N74" i="3"/>
  <c r="N67" i="3"/>
  <c r="N39" i="3"/>
  <c r="N35" i="3"/>
  <c r="N31" i="3"/>
  <c r="N21" i="3"/>
  <c r="N17" i="3"/>
  <c r="N25" i="3"/>
  <c r="N12" i="3"/>
  <c r="Y76" i="4"/>
  <c r="Y72" i="4"/>
  <c r="Y73" i="4"/>
  <c r="Y71" i="4"/>
  <c r="Y65" i="4"/>
  <c r="Y66" i="4"/>
  <c r="Y67" i="4"/>
  <c r="Y68" i="4"/>
  <c r="Y64" i="4"/>
  <c r="Y57" i="4"/>
  <c r="Y58" i="4"/>
  <c r="Y59" i="4"/>
  <c r="Y60" i="4"/>
  <c r="Y61" i="4"/>
  <c r="Y56" i="4"/>
  <c r="Y32" i="4"/>
  <c r="Y33" i="4"/>
  <c r="Y31" i="4"/>
  <c r="J35" i="3"/>
  <c r="Y29" i="4"/>
  <c r="Y28" i="4"/>
  <c r="Y27" i="4"/>
  <c r="J31" i="3"/>
  <c r="Y25" i="4"/>
  <c r="Y23" i="4"/>
  <c r="Y24" i="4"/>
  <c r="Y22" i="4"/>
  <c r="J25" i="3"/>
  <c r="Y20" i="4"/>
  <c r="Y19" i="4"/>
  <c r="Y18" i="4"/>
  <c r="J21" i="3"/>
  <c r="Y16" i="4"/>
  <c r="Y15" i="4"/>
  <c r="Y14" i="4"/>
  <c r="J17" i="3"/>
  <c r="Y12" i="4"/>
  <c r="Y10" i="4"/>
  <c r="Y11" i="4"/>
  <c r="Y9" i="4"/>
  <c r="Y6" i="4"/>
  <c r="J12" i="3"/>
  <c r="Y7" i="4"/>
  <c r="AD76" i="4"/>
  <c r="AD72" i="4"/>
  <c r="AD73" i="4"/>
  <c r="AD71" i="4"/>
  <c r="AD65" i="4"/>
  <c r="AD66" i="4"/>
  <c r="AD67" i="4"/>
  <c r="AD68" i="4"/>
  <c r="AD64" i="4"/>
  <c r="AD57" i="4"/>
  <c r="AD58" i="4"/>
  <c r="AD59" i="4"/>
  <c r="AD60" i="4"/>
  <c r="AD61" i="4"/>
  <c r="AD56" i="4"/>
  <c r="AD32" i="4"/>
  <c r="AD33" i="4"/>
  <c r="AD31" i="4"/>
  <c r="AD28" i="4"/>
  <c r="AD27" i="4"/>
  <c r="AD23" i="4"/>
  <c r="AD24" i="4"/>
  <c r="AD22" i="4"/>
  <c r="AD19" i="4"/>
  <c r="AD18" i="4"/>
  <c r="L82" i="3"/>
  <c r="AD77" i="4"/>
  <c r="L79" i="3"/>
  <c r="AD74" i="4"/>
  <c r="L74" i="3"/>
  <c r="AD69" i="4"/>
  <c r="L67" i="3"/>
  <c r="AD62" i="4"/>
  <c r="L39" i="3"/>
  <c r="AD34" i="4"/>
  <c r="L35" i="3"/>
  <c r="AD29" i="4"/>
  <c r="L31" i="3"/>
  <c r="AD25" i="4"/>
  <c r="L25" i="3"/>
  <c r="AD20" i="4"/>
  <c r="L21" i="3"/>
  <c r="AD16" i="4"/>
  <c r="L17" i="3"/>
  <c r="AD12" i="4"/>
  <c r="L12" i="3"/>
  <c r="AD7" i="4"/>
  <c r="AD15" i="4"/>
  <c r="AD14" i="4"/>
  <c r="AD10" i="4"/>
  <c r="AD11" i="4"/>
  <c r="AD9" i="4"/>
  <c r="J39" i="3"/>
  <c r="Y34" i="4"/>
  <c r="J67" i="3"/>
  <c r="J74" i="3"/>
  <c r="J79" i="3"/>
  <c r="J81" i="3"/>
  <c r="J82" i="3"/>
  <c r="Y77" i="4"/>
  <c r="Y74" i="4"/>
  <c r="Y69" i="4"/>
  <c r="Y62" i="4"/>
  <c r="N16" i="4"/>
  <c r="N20" i="4"/>
  <c r="AI12" i="4"/>
  <c r="AH12" i="4"/>
  <c r="AC12" i="4"/>
  <c r="AI69" i="4"/>
  <c r="AH69" i="4"/>
  <c r="AC69" i="4"/>
  <c r="AB69" i="4"/>
  <c r="X69" i="4"/>
  <c r="W69" i="4"/>
  <c r="AI74" i="4"/>
  <c r="AH74" i="4"/>
  <c r="AC74" i="4"/>
  <c r="AB74" i="4"/>
  <c r="X74" i="4"/>
  <c r="W74" i="4"/>
  <c r="AI62" i="4"/>
  <c r="AI34" i="4"/>
  <c r="AH34" i="4"/>
  <c r="AI25" i="4"/>
  <c r="AH25" i="4"/>
  <c r="AC62" i="4"/>
  <c r="AB62" i="4"/>
  <c r="X62" i="4"/>
  <c r="W62" i="4"/>
  <c r="AC34" i="4"/>
  <c r="AB34" i="4"/>
  <c r="AC25" i="4"/>
  <c r="AB25" i="4"/>
  <c r="X25" i="4"/>
  <c r="W25" i="4"/>
  <c r="T69" i="4"/>
  <c r="S69" i="4"/>
  <c r="R69" i="4"/>
  <c r="N69" i="4"/>
  <c r="M69" i="4"/>
  <c r="L69" i="4"/>
  <c r="I69" i="4"/>
  <c r="H69" i="4"/>
  <c r="G69" i="4"/>
  <c r="D69" i="4"/>
  <c r="B69" i="4"/>
  <c r="T74" i="4"/>
  <c r="S74" i="4"/>
  <c r="R74" i="4"/>
  <c r="N74" i="4"/>
  <c r="M74" i="4"/>
  <c r="L74" i="4"/>
  <c r="T62" i="4"/>
  <c r="S62" i="4"/>
  <c r="R62" i="4"/>
  <c r="N62" i="4"/>
  <c r="M62" i="4"/>
  <c r="L62" i="4"/>
  <c r="X34" i="4"/>
  <c r="W34" i="4"/>
  <c r="T34" i="4"/>
  <c r="S34" i="4"/>
  <c r="R34" i="4"/>
  <c r="N34" i="4"/>
  <c r="M34" i="4"/>
  <c r="L34" i="4"/>
  <c r="N25" i="4"/>
  <c r="M25" i="4"/>
  <c r="L25" i="4"/>
  <c r="I25" i="4"/>
  <c r="H25" i="4"/>
  <c r="G25" i="4"/>
  <c r="D25" i="4"/>
  <c r="I74" i="4"/>
  <c r="H74" i="4"/>
  <c r="G74" i="4"/>
  <c r="D74" i="4"/>
  <c r="I62" i="4"/>
  <c r="H62" i="4"/>
  <c r="G62" i="4"/>
  <c r="D62" i="4"/>
  <c r="I34" i="4"/>
  <c r="H34" i="4"/>
  <c r="G34" i="4"/>
  <c r="D34" i="4"/>
  <c r="T77" i="4"/>
  <c r="T29" i="4"/>
  <c r="T25" i="4"/>
  <c r="S25" i="4"/>
  <c r="R25" i="4"/>
  <c r="T20" i="4"/>
  <c r="T16" i="4"/>
  <c r="T12" i="4"/>
  <c r="AB12" i="4"/>
  <c r="X12" i="4"/>
  <c r="W12" i="4"/>
  <c r="S12" i="4"/>
  <c r="R12" i="4"/>
  <c r="N12" i="4"/>
  <c r="M12" i="4"/>
  <c r="L12" i="4"/>
  <c r="I12" i="4"/>
  <c r="H12" i="4"/>
  <c r="G12" i="4"/>
  <c r="AI29" i="4"/>
  <c r="AH29" i="4"/>
  <c r="AC29" i="4"/>
  <c r="AB29" i="4"/>
  <c r="X29" i="4"/>
  <c r="W29" i="4"/>
  <c r="S29" i="4"/>
  <c r="R29" i="4"/>
  <c r="N29" i="4"/>
  <c r="M29" i="4"/>
  <c r="L29" i="4"/>
  <c r="I29" i="4"/>
  <c r="H29" i="4"/>
  <c r="G29" i="4"/>
  <c r="D29" i="4"/>
  <c r="AI20" i="4"/>
  <c r="AH20" i="4"/>
  <c r="AC20" i="4"/>
  <c r="AB20" i="4"/>
  <c r="X20" i="4"/>
  <c r="W20" i="4"/>
  <c r="S20" i="4"/>
  <c r="R20" i="4"/>
  <c r="M20" i="4"/>
  <c r="L20" i="4"/>
  <c r="I20" i="4"/>
  <c r="H20" i="4"/>
  <c r="G20" i="4"/>
  <c r="AI16" i="4"/>
  <c r="AH16" i="4"/>
  <c r="AC16" i="4"/>
  <c r="AB16" i="4"/>
  <c r="X16" i="4"/>
  <c r="W16" i="4"/>
  <c r="S16" i="4"/>
  <c r="R16" i="4"/>
  <c r="M16" i="4"/>
  <c r="L16" i="4"/>
  <c r="I16" i="4"/>
  <c r="H16" i="4"/>
  <c r="G16" i="4"/>
  <c r="D20" i="4"/>
  <c r="D16" i="4"/>
  <c r="D12" i="4"/>
  <c r="B74" i="4"/>
  <c r="AN20" i="4"/>
  <c r="AN62" i="4"/>
  <c r="AM62" i="4"/>
  <c r="AN69" i="4"/>
  <c r="AM69" i="4"/>
  <c r="AN74" i="4"/>
  <c r="AM74" i="4"/>
  <c r="AS74" i="4"/>
  <c r="AR74" i="4"/>
  <c r="AS69" i="4"/>
  <c r="AR69" i="4"/>
  <c r="AS62" i="4"/>
  <c r="AR62" i="4"/>
  <c r="AS34" i="4"/>
  <c r="AR34" i="4"/>
  <c r="AN34" i="4"/>
  <c r="AM34" i="4"/>
  <c r="AN25" i="4"/>
  <c r="AN16" i="4"/>
  <c r="AM25" i="4"/>
  <c r="AN29" i="4"/>
  <c r="AS25" i="4"/>
  <c r="AR25" i="4"/>
  <c r="AM29" i="4"/>
  <c r="AS29" i="4"/>
  <c r="AR29" i="4"/>
  <c r="AM20" i="4"/>
  <c r="AS20" i="4"/>
  <c r="AR20" i="4"/>
  <c r="AM16" i="4"/>
  <c r="AS16" i="4"/>
  <c r="AR16" i="4"/>
  <c r="AN12" i="4"/>
  <c r="AM12" i="4"/>
  <c r="AS12" i="4"/>
  <c r="AR12" i="4"/>
</calcChain>
</file>

<file path=xl/sharedStrings.xml><?xml version="1.0" encoding="utf-8"?>
<sst xmlns="http://schemas.openxmlformats.org/spreadsheetml/2006/main" count="3525" uniqueCount="1745">
  <si>
    <t>34,5 (+22,0)</t>
  </si>
  <si>
    <t>127,5 (-28,4)</t>
  </si>
  <si>
    <t>712,7 (+93,9)</t>
  </si>
  <si>
    <t>946,1 (+204,5)</t>
  </si>
  <si>
    <t>71,7 (+40,2)</t>
  </si>
  <si>
    <t>225,8 (+24,0)</t>
  </si>
  <si>
    <t>994,1 (+316,7)</t>
  </si>
  <si>
    <t>84,3 (+57,4)</t>
  </si>
  <si>
    <t>241,3 (+56,8)</t>
  </si>
  <si>
    <t>1034,3 (+271,2)</t>
  </si>
  <si>
    <t>90,3 (+55,3)</t>
  </si>
  <si>
    <t>258,5 (+48,2)</t>
  </si>
  <si>
    <t>1150,1 (+203,9)</t>
  </si>
  <si>
    <t>1221,3 (+362,8)</t>
  </si>
  <si>
    <t>158,0 (+79,6)</t>
  </si>
  <si>
    <t>364,5 (+67,9)</t>
  </si>
  <si>
    <t>26,6 (+26,6)</t>
  </si>
  <si>
    <t>189,2 (+124,4)</t>
  </si>
  <si>
    <t>398,3 (+135,4)</t>
  </si>
  <si>
    <t>978,9 (+130,2)</t>
  </si>
  <si>
    <t>1043,3 (+232,3)</t>
  </si>
  <si>
    <t>123,7 (+66,0)</t>
  </si>
  <si>
    <t>273,0 (+19,5)</t>
  </si>
  <si>
    <t>1164,4 (+275,4)</t>
  </si>
  <si>
    <t>15,1 (+15,1)</t>
  </si>
  <si>
    <t>129,2 (+80,0)</t>
  </si>
  <si>
    <t>320,9 (+84,9)</t>
  </si>
  <si>
    <t>1184,1 (+300,9)</t>
  </si>
  <si>
    <t>1183,3 (+281,9)</t>
  </si>
  <si>
    <t>150,4 (+81,1)</t>
  </si>
  <si>
    <t>371,4 (+100,1)</t>
  </si>
  <si>
    <t>983,7 (+128,6)</t>
  </si>
  <si>
    <t>163,5 (+94,4)</t>
  </si>
  <si>
    <t>380,4 (+111,4)</t>
  </si>
  <si>
    <t>1201,9 (+154,2)</t>
  </si>
  <si>
    <t>17,0 (+17,0)</t>
  </si>
  <si>
    <t>153,8 (+81,9)</t>
  </si>
  <si>
    <t>362,2 (+84,4)</t>
  </si>
  <si>
    <t>979,2 (+248,5)</t>
  </si>
  <si>
    <t>1157,8 (n/d)</t>
  </si>
  <si>
    <t>103,6 (+40,2)</t>
  </si>
  <si>
    <t>284,1 (+21,3)</t>
  </si>
  <si>
    <t>1215,4 (+162,7)</t>
  </si>
  <si>
    <t>15,8 (+15,3)</t>
  </si>
  <si>
    <t>163,0 (+65,6)</t>
  </si>
  <si>
    <t>379,5 (+43,7)</t>
  </si>
  <si>
    <t>1131,8 (+211,0)</t>
  </si>
  <si>
    <t>1189,0 (+303,6)</t>
  </si>
  <si>
    <t>6,1 (+6,1)</t>
  </si>
  <si>
    <t>108,5 (+60,3)</t>
  </si>
  <si>
    <t>290,6 (+70,5)</t>
  </si>
  <si>
    <t>15,3 (n/d)</t>
  </si>
  <si>
    <t>159,9 (n/d)</t>
  </si>
  <si>
    <t>361,0 (n/d)</t>
  </si>
  <si>
    <t>938,2 (+202,6)</t>
  </si>
  <si>
    <t>20,6 (+19,8)</t>
  </si>
  <si>
    <t>176,8 (+77,7)</t>
  </si>
  <si>
    <t>383,4 (+48,4)</t>
  </si>
  <si>
    <t>865,9 (+59,3)</t>
  </si>
  <si>
    <t>928,2 (+231,4)</t>
  </si>
  <si>
    <t>973,8 (+198,9)</t>
  </si>
  <si>
    <t>1150,3 (+185,7)</t>
  </si>
  <si>
    <t>797,5 (+110,5)</t>
  </si>
  <si>
    <t>989,9 (+172,5)</t>
  </si>
  <si>
    <t>865,9 (+176,5)</t>
  </si>
  <si>
    <t>1044,5 (+87,6)</t>
  </si>
  <si>
    <t>1045,0 (+149,5)</t>
  </si>
  <si>
    <t>1051,7 (+162,6)</t>
  </si>
  <si>
    <t>1189,5 (+233,2)</t>
  </si>
  <si>
    <t>1260,4 (+313,7)</t>
  </si>
  <si>
    <t>989,5 (+116,0)</t>
  </si>
  <si>
    <t>1262,4 (+252,4)</t>
  </si>
  <si>
    <t>1371,7 (+259,8)</t>
  </si>
  <si>
    <t>1315,3 (+220,3)</t>
  </si>
  <si>
    <t>1344,7 (+229,0)</t>
  </si>
  <si>
    <t>1252,7 (+160,2)</t>
  </si>
  <si>
    <t>26,9 (+26,9)</t>
  </si>
  <si>
    <t>184,0 (+102,4)</t>
  </si>
  <si>
    <t>404,1 (+107,3)</t>
  </si>
  <si>
    <t>1246,8 (+118,8)</t>
  </si>
  <si>
    <t>17,5 (+17,5)</t>
  </si>
  <si>
    <t>134,5 (+65,9)</t>
  </si>
  <si>
    <t>314,5 (+47,4)</t>
  </si>
  <si>
    <t>1294,7 (+158,5)</t>
  </si>
  <si>
    <t>28,9 (+28,5)</t>
  </si>
  <si>
    <t>200,4 (+108,9)</t>
  </si>
  <si>
    <t>423,5 (+106,2)</t>
  </si>
  <si>
    <t>1302,8 (+179,4)</t>
  </si>
  <si>
    <t>26,8 (+25,2)</t>
  </si>
  <si>
    <t>215,0 (+104,9)</t>
  </si>
  <si>
    <t>461,8 (+103,4)</t>
  </si>
  <si>
    <t>1234,4 (+104,4)</t>
  </si>
  <si>
    <t>23,8 (+22,3)</t>
  </si>
  <si>
    <t>199,1 (+89,9)</t>
  </si>
  <si>
    <t>440,7 (+84,3)</t>
  </si>
  <si>
    <t>23,0 (+21,6)</t>
  </si>
  <si>
    <t>189,6 (+79,4)</t>
  </si>
  <si>
    <t>427,8 (+67,3)</t>
  </si>
  <si>
    <t>993,9 (+175,7)</t>
  </si>
  <si>
    <t>1213,3 (+215,6)</t>
  </si>
  <si>
    <t>1101,4 (+195,1)</t>
  </si>
  <si>
    <t>20,2 (+18,9)</t>
  </si>
  <si>
    <t>186,5 (+81,6)</t>
  </si>
  <si>
    <t>416,8 (+69,3)</t>
  </si>
  <si>
    <t>22,4 (+20,5)</t>
  </si>
  <si>
    <t>183,6 (+73,2)</t>
  </si>
  <si>
    <t>404,3 (+45,0)</t>
  </si>
  <si>
    <t>841,1 (+167,0)</t>
  </si>
  <si>
    <t>22,9 (+21,2)</t>
  </si>
  <si>
    <t>192,5 (+79,5)</t>
  </si>
  <si>
    <t>430,4 (+65,8)</t>
  </si>
  <si>
    <t>17,6 (+15,8)</t>
  </si>
  <si>
    <t>189,2 (+79,4)</t>
  </si>
  <si>
    <t>427,2 (+69,6)</t>
  </si>
  <si>
    <t>20,6 (+18,7)</t>
  </si>
  <si>
    <t>173,9 (+63,1)</t>
  </si>
  <si>
    <t>399,6 (+39,2)</t>
  </si>
  <si>
    <t>10,9 (+10,9)</t>
  </si>
  <si>
    <t>116,3 (+55,3)</t>
  </si>
  <si>
    <t>294,4 (+43,5)</t>
  </si>
  <si>
    <t>160,8 (+71,1)</t>
  </si>
  <si>
    <t>393,9 (+78,6)</t>
  </si>
  <si>
    <t>14,4 (+14,4)</t>
  </si>
  <si>
    <t>138,3 (+63,2)</t>
  </si>
  <si>
    <t>341,6 (+58,6)</t>
  </si>
  <si>
    <t>91,4 (+63,4)</t>
  </si>
  <si>
    <t>227,2 (+38,6)</t>
  </si>
  <si>
    <t>685,4 (+66,6)</t>
  </si>
  <si>
    <t>916,5 (+174,8)</t>
  </si>
  <si>
    <t>957,1 (+279,7)</t>
  </si>
  <si>
    <t>992,2 (+229,0)</t>
  </si>
  <si>
    <t>1100,6 (+154,8)</t>
  </si>
  <si>
    <t>1152,5 (+294,1)</t>
  </si>
  <si>
    <t>946,7 (+98,0)</t>
  </si>
  <si>
    <t>1003,2 (+192,1)</t>
  </si>
  <si>
    <t>1113,4 (+224,9)</t>
  </si>
  <si>
    <t>1130,7 (+247,8)</t>
  </si>
  <si>
    <t>1128,6 (+227,6)</t>
  </si>
  <si>
    <t>945,2 (+90,2)</t>
  </si>
  <si>
    <t>1143,4 (+96,4)</t>
  </si>
  <si>
    <t>937,7 (+207,0)</t>
  </si>
  <si>
    <t>1096,7 (n/d)</t>
  </si>
  <si>
    <t>1144,1 (+92,5)</t>
  </si>
  <si>
    <t>1081,8 (+161,1)</t>
  </si>
  <si>
    <t>1130,5 (+245,2)</t>
  </si>
  <si>
    <t>906,0 (+170,3)</t>
  </si>
  <si>
    <t>844,5 (+37,9)</t>
  </si>
  <si>
    <t>894,6 (+197,8)</t>
  </si>
  <si>
    <t>939,4 (+164,5)</t>
  </si>
  <si>
    <t>1094,0 (+129,6)</t>
  </si>
  <si>
    <t>775,2 (+88,3)</t>
  </si>
  <si>
    <t>950,7 (+133,3)</t>
  </si>
  <si>
    <t>829,4 (+140,0)</t>
  </si>
  <si>
    <t>1000,8 (+44,1)</t>
  </si>
  <si>
    <t>1008,4 (+113,0)</t>
  </si>
  <si>
    <t>1010,1 (+121,0)</t>
  </si>
  <si>
    <t>1123,3 (+167,2)</t>
  </si>
  <si>
    <t>1195,0 (+248,9)</t>
  </si>
  <si>
    <t>952,4 (+79,2)</t>
  </si>
  <si>
    <t>1198,8 (+190,1)</t>
  </si>
  <si>
    <t>1297,2 (+188,4)</t>
  </si>
  <si>
    <t>1250,4 (+157,7)</t>
  </si>
  <si>
    <t>1276,1 (+162,6)</t>
  </si>
  <si>
    <t>1185,3 (+95,0)</t>
  </si>
  <si>
    <t>1185,1 (+60,8)</t>
  </si>
  <si>
    <t>1225,8 (+93,1)</t>
  </si>
  <si>
    <t>1236,1 (+116,3)</t>
  </si>
  <si>
    <t>1173,9 (+47,4)</t>
  </si>
  <si>
    <t>948,9 (+130,7)</t>
  </si>
  <si>
    <t>1148,0 (+150,7)</t>
  </si>
  <si>
    <t>1041,3 (+135,1)</t>
  </si>
  <si>
    <t>801,4 (+127,3)</t>
  </si>
  <si>
    <t>16,4 (+16,4)</t>
  </si>
  <si>
    <t>153,2 (+81,3)</t>
  </si>
  <si>
    <t>415,5 (+130,9)</t>
  </si>
  <si>
    <t>749,8 (+168,8)</t>
  </si>
  <si>
    <t>1077,8 (+244,7)</t>
  </si>
  <si>
    <t>1232,1 (+311,3)</t>
  </si>
  <si>
    <t>1271,4 (+350,6)</t>
  </si>
  <si>
    <t>5,4 (+5,4)</t>
  </si>
  <si>
    <t>172,8 (+105,2)</t>
  </si>
  <si>
    <t>443,9 (+170,7)</t>
  </si>
  <si>
    <t>791,6 (+229,6)</t>
  </si>
  <si>
    <t>1119,0 (+312,9)</t>
  </si>
  <si>
    <t>1258,9 (+373,5)</t>
  </si>
  <si>
    <t>1298,4 (+413,0)</t>
  </si>
  <si>
    <t>5,9 (+5,9)</t>
  </si>
  <si>
    <t>13,4 (+13,4)</t>
  </si>
  <si>
    <t>120,4 (+78,1)</t>
  </si>
  <si>
    <t>335,6 (+120,6)</t>
  </si>
  <si>
    <t>624,6 (+154,3)</t>
  </si>
  <si>
    <t>911,4 (+229,4)</t>
  </si>
  <si>
    <t>1024,3 (+288,7)</t>
  </si>
  <si>
    <t>1052,8 (+317,2)</t>
  </si>
  <si>
    <t>8,0 (+8,0)</t>
  </si>
  <si>
    <t>112,1 (+57,8)</t>
  </si>
  <si>
    <t>312,9 (+69,8)</t>
  </si>
  <si>
    <t>588,3 (+73,7)</t>
  </si>
  <si>
    <t>858,6 (+117,0)</t>
  </si>
  <si>
    <t>952,3 (+145,6)</t>
  </si>
  <si>
    <t>975,5 (+168,9)</t>
  </si>
  <si>
    <t>6,8 (+6,8)</t>
  </si>
  <si>
    <t>134,4 (+97,6)</t>
  </si>
  <si>
    <t>354,1 (+152,0)</t>
  </si>
  <si>
    <t>642,2 (+193,2)</t>
  </si>
  <si>
    <t>924,7 (+273,8)</t>
  </si>
  <si>
    <t>1035,8 (+339,0)</t>
  </si>
  <si>
    <t>1062,3 (+365,4)</t>
  </si>
  <si>
    <t>20,0 (+20,0)</t>
  </si>
  <si>
    <t>0,3 (+0,3)</t>
  </si>
  <si>
    <t>12,4 (+12,4)</t>
  </si>
  <si>
    <t>123,4 (+74,9)</t>
  </si>
  <si>
    <t>341,2 (+110,2)</t>
  </si>
  <si>
    <t>639,4 (+144,0)</t>
  </si>
  <si>
    <t>934,0 (+218,4)</t>
  </si>
  <si>
    <t>1051,2 (+276,3)</t>
  </si>
  <si>
    <t>1080,0 (+305,1)</t>
  </si>
  <si>
    <t>164,3 (+83,5)</t>
  </si>
  <si>
    <t>430,6 (+127,5)</t>
  </si>
  <si>
    <t>779,7 (+170,7)</t>
  </si>
  <si>
    <t>1099,7 (+229,8)</t>
  </si>
  <si>
    <t>1239,8 (+275,3)</t>
  </si>
  <si>
    <t>1274,7 (+310,1)</t>
  </si>
  <si>
    <t>13,6 (+13,6)</t>
  </si>
  <si>
    <t>112,3 (+76,2)</t>
  </si>
  <si>
    <t>302,0 (+103,3)</t>
  </si>
  <si>
    <t>559,0 (+116,6)</t>
  </si>
  <si>
    <t>814,8 (+172,9)</t>
  </si>
  <si>
    <t>904,1 (+217,2)</t>
  </si>
  <si>
    <t>928,9 (+242,0)</t>
  </si>
  <si>
    <t>132,8 (+75,7)</t>
  </si>
  <si>
    <t>356,3 (+108,1)</t>
  </si>
  <si>
    <t>666,8 (+144,5)</t>
  </si>
  <si>
    <t>962,9 (+212,2)</t>
  </si>
  <si>
    <t>1071,4 (+254,0)</t>
  </si>
  <si>
    <t>1097,9 (+280,4)</t>
  </si>
  <si>
    <t>8,1 (+8,1)</t>
  </si>
  <si>
    <t>121,7 (+85,0)</t>
  </si>
  <si>
    <t>314,3 (+115,4)</t>
  </si>
  <si>
    <t>595,5 (+152,2)</t>
  </si>
  <si>
    <t>854,3 (+211,3)</t>
  </si>
  <si>
    <t>944,5 (+255,1)</t>
  </si>
  <si>
    <t>963,2 (+273,8)</t>
  </si>
  <si>
    <t>2,3 (+2,3)</t>
  </si>
  <si>
    <t>143,2 (+63,3)</t>
  </si>
  <si>
    <t>393,9 (+93,5)</t>
  </si>
  <si>
    <t>715,0 (+110,6)</t>
  </si>
  <si>
    <t>1023,4 (+159,8)</t>
  </si>
  <si>
    <t>1151,2 (+194,5)</t>
  </si>
  <si>
    <t>1181,7 (+224,8)</t>
  </si>
  <si>
    <t>149,2 (+82,6)</t>
  </si>
  <si>
    <t>397,0 (+122,9)</t>
  </si>
  <si>
    <t>724,8 (+159,2)</t>
  </si>
  <si>
    <t>1039,8 (+226,7)</t>
  </si>
  <si>
    <t>1179,1 (+283,7)</t>
  </si>
  <si>
    <t>1213,1 (+317,7)</t>
  </si>
  <si>
    <t>17,1 (+17,1)</t>
  </si>
  <si>
    <t>139,0 (+71,1)</t>
  </si>
  <si>
    <t>377,6 (+103,3)</t>
  </si>
  <si>
    <t>696,4 (+132,3)</t>
  </si>
  <si>
    <t>999,3 (+189,9)</t>
  </si>
  <si>
    <t>1125,7 (+236,6)</t>
  </si>
  <si>
    <t>1151,2 (+262,1)</t>
  </si>
  <si>
    <t>10,0 (+10,0)</t>
  </si>
  <si>
    <t>152,6 (+73,2)</t>
  </si>
  <si>
    <t>428,4 (+128,9)</t>
  </si>
  <si>
    <t>792,0 (+188,6)</t>
  </si>
  <si>
    <t>1141,6 (+279,1)</t>
  </si>
  <si>
    <t>1310,4 (+354,4)</t>
  </si>
  <si>
    <t>1346,3 (+390,1)</t>
  </si>
  <si>
    <t>1 mars-31 juil, 2011</t>
  </si>
  <si>
    <t>1 mars-30 sept, 2011</t>
  </si>
  <si>
    <t>1 mars-31 oct, 2011</t>
  </si>
  <si>
    <t>1 mars-30 nov, 2011</t>
  </si>
  <si>
    <t>4,1 (+4,1)</t>
  </si>
  <si>
    <t>0,7 (+0,7)</t>
  </si>
  <si>
    <t>1,9 (+1,9)</t>
  </si>
  <si>
    <t>0,2 (+0,2)</t>
  </si>
  <si>
    <t>6,4 (+6,4)</t>
  </si>
  <si>
    <t>1,5 (+1,5)</t>
  </si>
  <si>
    <t>4,6 (+4,6)</t>
  </si>
  <si>
    <t>4,4 (+4,4)</t>
  </si>
  <si>
    <t>5,3 (+5,3)</t>
  </si>
  <si>
    <t>3,4 (+3,4)</t>
  </si>
  <si>
    <t>93,4 (+21,5)</t>
  </si>
  <si>
    <t>115,7 (+48,0)</t>
  </si>
  <si>
    <t>47,5 (+28,3)</t>
  </si>
  <si>
    <t>70,0 (+27,6)</t>
  </si>
  <si>
    <t>64,8 (+10,6)</t>
  </si>
  <si>
    <t>71,3 (+34,5)</t>
  </si>
  <si>
    <t>78,5 (+41,7)</t>
  </si>
  <si>
    <t>71,4 (+22,8)</t>
  </si>
  <si>
    <t>106,3 (+25,5)</t>
  </si>
  <si>
    <t>67,2 (+31,1)</t>
  </si>
  <si>
    <t>78,5 (+21,5)</t>
  </si>
  <si>
    <t>64,7 (+28,0)</t>
  </si>
  <si>
    <t>94,5 (+14,7)</t>
  </si>
  <si>
    <t>82,9 (+16,3)</t>
  </si>
  <si>
    <t>79,0 (+11,1)</t>
  </si>
  <si>
    <t>86,6 (+18,6)</t>
  </si>
  <si>
    <t>97,1 (+15,9)</t>
  </si>
  <si>
    <t>82,5 (+3,1)</t>
  </si>
  <si>
    <t>326,7 (+42,2)</t>
  </si>
  <si>
    <t>363,7 (+90,4)</t>
  </si>
  <si>
    <t>200,4 (+43,6)</t>
  </si>
  <si>
    <t>264,3 (+49,3)</t>
  </si>
  <si>
    <t>255,9 (+12,9)</t>
  </si>
  <si>
    <t>268,0 (+65,9)</t>
  </si>
  <si>
    <t>289,7 (+87,5)</t>
  </si>
  <si>
    <t>278,4 (+47,5)</t>
  </si>
  <si>
    <t>351,5 (+48,4)</t>
  </si>
  <si>
    <t>236,9 (+38,2)</t>
  </si>
  <si>
    <t>293,9 (+45,6)</t>
  </si>
  <si>
    <t>248,4 (+49,5)</t>
  </si>
  <si>
    <t>312,2 (+38,1)</t>
  </si>
  <si>
    <t>298,7 (+24,3)</t>
  </si>
  <si>
    <t>310,0 (+35,6)</t>
  </si>
  <si>
    <t>335,0 (+31,6)</t>
  </si>
  <si>
    <t>328,2 (+28,7)</t>
  </si>
  <si>
    <t>679,7 (+98,8)</t>
  </si>
  <si>
    <t>728,6 (+166,5)</t>
  </si>
  <si>
    <t>455,9 (+79,7)</t>
  </si>
  <si>
    <t>585,5 (+115,2)</t>
  </si>
  <si>
    <t>562,8 (+48,3)</t>
  </si>
  <si>
    <t>591,1 (+142,1)</t>
  </si>
  <si>
    <t>626,4 (+177,5)</t>
  </si>
  <si>
    <t>601,0 (+105,6)</t>
  </si>
  <si>
    <t>712,4 (+103,4)</t>
  </si>
  <si>
    <t>520,0 (+77,6)</t>
  </si>
  <si>
    <t>627,1 (+104,8)</t>
  </si>
  <si>
    <t>548,5 (+105,3)</t>
  </si>
  <si>
    <t>661,5 (+57,1)</t>
  </si>
  <si>
    <t>656,2 (+90,6)</t>
  </si>
  <si>
    <t>642,6 (+78,4)</t>
  </si>
  <si>
    <t>658,7 (+94,6)</t>
  </si>
  <si>
    <t>694,5 (+85,2)</t>
  </si>
  <si>
    <t>715,5 (+112,1)</t>
  </si>
  <si>
    <t>982,2 (+149,1)</t>
  </si>
  <si>
    <t>1030,5 (+224,4)</t>
  </si>
  <si>
    <t>661,4 (+113,5)</t>
  </si>
  <si>
    <t>854,2 (+172,3)</t>
  </si>
  <si>
    <t>827,8 (+86,3)</t>
  </si>
  <si>
    <t>857,4 (+206,6)</t>
  </si>
  <si>
    <t>906,6 (+255,7)</t>
  </si>
  <si>
    <t>864,2 (+148,6)</t>
  </si>
  <si>
    <t>999,1 (+129,2)</t>
  </si>
  <si>
    <t>747,1 (+105,2)</t>
  </si>
  <si>
    <t>895,8 (+145,1)</t>
  </si>
  <si>
    <t>789,1 (+146,1)</t>
  </si>
  <si>
    <t>945,2 (+81,6)</t>
  </si>
  <si>
    <t>949,2 (+136,2)</t>
  </si>
  <si>
    <t>919,0 (+109,7)</t>
  </si>
  <si>
    <t>939,1 (+129,7)</t>
  </si>
  <si>
    <t>994,5 (+124,2)</t>
  </si>
  <si>
    <t>1036,7 (+174,2)</t>
  </si>
  <si>
    <t>1165,9 (+245,1)</t>
  </si>
  <si>
    <t>1216,2 (+330,9)</t>
  </si>
  <si>
    <t>749,5 (+171,4)</t>
  </si>
  <si>
    <t>1007,2 (+271,6)</t>
  </si>
  <si>
    <t>951,1 (+144,5)</t>
  </si>
  <si>
    <t>998,0 (+301,1)</t>
  </si>
  <si>
    <t>1056,2 (+359,4)</t>
  </si>
  <si>
    <t>1008,7 (+233,8)</t>
  </si>
  <si>
    <t>1178,5 (+214,1)</t>
  </si>
  <si>
    <t>862,4 (+175,4)</t>
  </si>
  <si>
    <t>1044,9 (+227,5)</t>
  </si>
  <si>
    <t>915,6 (+226,2)</t>
  </si>
  <si>
    <t>1112,2 (+155,5)</t>
  </si>
  <si>
    <t>1130,7 (+235,2)</t>
  </si>
  <si>
    <t>1084,4 (+195,3)</t>
  </si>
  <si>
    <t>1103,8 (+214,7)</t>
  </si>
  <si>
    <t>1177,6 (+212,4)</t>
  </si>
  <si>
    <t>1240,5 (+284,4)</t>
  </si>
  <si>
    <t>1201,7 (+280,9)</t>
  </si>
  <si>
    <t>1253,1 (+367,7)</t>
  </si>
  <si>
    <t>765,6 (+187,6)</t>
  </si>
  <si>
    <t>1038,5 (+302,9)</t>
  </si>
  <si>
    <t>970,2 (+163,6)</t>
  </si>
  <si>
    <t>1029,9 (+333,1)</t>
  </si>
  <si>
    <t>1092,5 (+395,7)</t>
  </si>
  <si>
    <t>1033,5 (+258,6)</t>
  </si>
  <si>
    <t>1214,2 (+249,6)</t>
  </si>
  <si>
    <t>882,9 (+195,9)</t>
  </si>
  <si>
    <t>1071,6 (+254,2)</t>
  </si>
  <si>
    <t>943,5 (+254,0)</t>
  </si>
  <si>
    <t>1146,6 (+189,7)</t>
  </si>
  <si>
    <t>1164,6 (+269,1)</t>
  </si>
  <si>
    <t>1112,2 (+223,1)</t>
  </si>
  <si>
    <t>1136,3 (+247,2)</t>
  </si>
  <si>
    <t>1214,4 (+249,0)</t>
  </si>
  <si>
    <t>1284,7 (+328,5)</t>
  </si>
  <si>
    <t>1203,6 (+282,8)</t>
  </si>
  <si>
    <t>1255,5 (+370,2)</t>
  </si>
  <si>
    <t>1030,1 (+333,3)</t>
  </si>
  <si>
    <t>1093,1 (+396,3)</t>
  </si>
  <si>
    <t>1033,8 (+258,9)</t>
  </si>
  <si>
    <t>1216,0 (+251,4)</t>
  </si>
  <si>
    <t>883,0 (+196,0)</t>
  </si>
  <si>
    <t>1148,6 (+191,7)</t>
  </si>
  <si>
    <t>1165,9 (+270,4)</t>
  </si>
  <si>
    <t>1113,1 (+224,0)</t>
  </si>
  <si>
    <t>1137,8 (+248,7)</t>
  </si>
  <si>
    <t>1216,4 (+251,0)</t>
  </si>
  <si>
    <t>1286,3 (+330,1)</t>
  </si>
  <si>
    <t>12,0 (+12,0)</t>
  </si>
  <si>
    <t>145,0 (+73,1)</t>
  </si>
  <si>
    <t>339,7 (+55,1)</t>
  </si>
  <si>
    <t>157,2 (+89,5)</t>
  </si>
  <si>
    <t>368,8 (+95,5)</t>
  </si>
  <si>
    <t>86,8 (+44,4)</t>
  </si>
  <si>
    <t>254,7 (+39,7)</t>
  </si>
  <si>
    <t>91,8 (+37,6)</t>
  </si>
  <si>
    <t>252,6 (+9,5)</t>
  </si>
  <si>
    <t>5,1 (+5,1)</t>
  </si>
  <si>
    <t>97,5 (+60,7)</t>
  </si>
  <si>
    <t>257,0 (+54,9)</t>
  </si>
  <si>
    <t>7,3 (+7,3)</t>
  </si>
  <si>
    <t>110,6 (+62,1)</t>
  </si>
  <si>
    <t>282,8 (+51,8)</t>
  </si>
  <si>
    <t>13,7 (+13,7)</t>
  </si>
  <si>
    <t>152,8 (+71,9)</t>
  </si>
  <si>
    <t>362,7 (+59,6)</t>
  </si>
  <si>
    <t>4,9 (+4,9)</t>
  </si>
  <si>
    <t>85,5 (+49,5)</t>
  </si>
  <si>
    <t>225,5 (+26,8)</t>
  </si>
  <si>
    <t>4,0 (+4,0)</t>
  </si>
  <si>
    <t>105,8 (+48,8)</t>
  </si>
  <si>
    <t>289,3 (+41,1)</t>
  </si>
  <si>
    <t>5,6 (+5,6)</t>
  </si>
  <si>
    <t>107,2 (+70,4)</t>
  </si>
  <si>
    <t>251,6 (+52,7)</t>
  </si>
  <si>
    <t>10,2 (+10,2)</t>
  </si>
  <si>
    <t>132,3 (+52,4)</t>
  </si>
  <si>
    <t>319,1 (+18,7)</t>
  </si>
  <si>
    <t>133,4 (+66,8)</t>
  </si>
  <si>
    <t>310,8 (+36,7)</t>
  </si>
  <si>
    <t>128,8 (+60,9)</t>
  </si>
  <si>
    <t>308,7 (+34,3)</t>
  </si>
  <si>
    <t>127,5 (+48,1)</t>
  </si>
  <si>
    <t>326,1 (+26,5)</t>
  </si>
  <si>
    <t>Moyenne</t>
  </si>
  <si>
    <t>12,2 (+12,2)</t>
  </si>
  <si>
    <t>162,2 (+90,2)</t>
  </si>
  <si>
    <t>383,9 (+99,3)</t>
  </si>
  <si>
    <t>744,5 (+163,6)</t>
  </si>
  <si>
    <t>1039,7 (+206,6)</t>
  </si>
  <si>
    <t>1200,3 (+279,5)</t>
  </si>
  <si>
    <t>1210,4 (+289,6)</t>
  </si>
  <si>
    <t>189,9 (+122,3)</t>
  </si>
  <si>
    <t>424,1 (+150,8)</t>
  </si>
  <si>
    <t>793,7 (+231,7)</t>
  </si>
  <si>
    <t>1097,2 (+291,1)</t>
  </si>
  <si>
    <t>1250,5 (+365,2)</t>
  </si>
  <si>
    <t>1263,4 (+378,1)</t>
  </si>
  <si>
    <t>3,6 (+3,6)</t>
  </si>
  <si>
    <t>119,3 (+76,9)</t>
  </si>
  <si>
    <t>298,2 (+83,2)</t>
  </si>
  <si>
    <t>636,2 (+166,0)</t>
  </si>
  <si>
    <t>900,7 (+218,7)</t>
  </si>
  <si>
    <t>1025,1 (+289,4)</t>
  </si>
  <si>
    <t>1032,4 (+296,7)</t>
  </si>
  <si>
    <t>0,8 (+0,8)</t>
  </si>
  <si>
    <t>106,0 (+51,8)</t>
  </si>
  <si>
    <t>277,0 (+33,9)</t>
  </si>
  <si>
    <t>600,4 (+85,9)</t>
  </si>
  <si>
    <t>859,6 (+118,1)</t>
  </si>
  <si>
    <t>985,5 (+178,9)</t>
  </si>
  <si>
    <t>991,5 (+184,9)</t>
  </si>
  <si>
    <t>4,8 (+4,8)</t>
  </si>
  <si>
    <t>122,3 (+85,6)</t>
  </si>
  <si>
    <t>294,9 (+92,8)</t>
  </si>
  <si>
    <t>631,8 (+182,9)</t>
  </si>
  <si>
    <t>896,8 (+245,9)</t>
  </si>
  <si>
    <t>1006,3 (+309,5)</t>
  </si>
  <si>
    <t>1013,2 (+316,4)</t>
  </si>
  <si>
    <t>3,0 (+3,0)</t>
  </si>
  <si>
    <t>134,5 (+86,0)</t>
  </si>
  <si>
    <t>331,9 (+100,9)</t>
  </si>
  <si>
    <t>663,2 (+167,9)</t>
  </si>
  <si>
    <t>919,7 (+204,1)</t>
  </si>
  <si>
    <t>1050,9 (+276,0)</t>
  </si>
  <si>
    <t>1059,3 (+284,5)</t>
  </si>
  <si>
    <t>15,2 (+15,2)</t>
  </si>
  <si>
    <t>174,5 (+93,7)</t>
  </si>
  <si>
    <t>395,2 (+92,1)</t>
  </si>
  <si>
    <t>758,5 (+149,5)</t>
  </si>
  <si>
    <t>1059,3 (+189,3)</t>
  </si>
  <si>
    <t>1217,1 (+252,7)</t>
  </si>
  <si>
    <t>1229,2 (+264,5)</t>
  </si>
  <si>
    <t>2,2 (+2,2)</t>
  </si>
  <si>
    <t>105,0 (+69,0)</t>
  </si>
  <si>
    <t>270,8 (+72,1)</t>
  </si>
  <si>
    <t>563,6 (+121,2)</t>
  </si>
  <si>
    <t>785,9 (+143,9)</t>
  </si>
  <si>
    <t>888,5 (+201,5)</t>
  </si>
  <si>
    <t>893,6 (+206,6)</t>
  </si>
  <si>
    <t>144,2 (+87,1)</t>
  </si>
  <si>
    <t>351,5 (+103,3)</t>
  </si>
  <si>
    <t>690,4 (+168,2)</t>
  </si>
  <si>
    <t>948,3 (+197,7)</t>
  </si>
  <si>
    <t>1074,6 (+257,2)</t>
  </si>
  <si>
    <t>1083,9 (+266,5)</t>
  </si>
  <si>
    <t>10,3 (+10,3)</t>
  </si>
  <si>
    <t>142,8 (+106,0)</t>
  </si>
  <si>
    <t>306,7 (+107,8)</t>
  </si>
  <si>
    <t>614,3 (+171,0)</t>
  </si>
  <si>
    <t>860,6 (+217,6)</t>
  </si>
  <si>
    <t>956,9 (+267,5)</t>
  </si>
  <si>
    <t>960,1 (+270,7)</t>
  </si>
  <si>
    <t>11,2 (+11,2)</t>
  </si>
  <si>
    <t>149,6 (+69,7)</t>
  </si>
  <si>
    <t>352,8 (+52,4)</t>
  </si>
  <si>
    <t>701,0 (+96,7)</t>
  </si>
  <si>
    <t>979,9 (+116,3)</t>
  </si>
  <si>
    <t>1129,0 (+172,3)</t>
  </si>
  <si>
    <t>1138,6 (+181,7)</t>
  </si>
  <si>
    <t>12,5 (+12,5)</t>
  </si>
  <si>
    <t>156,2 (+89,6)</t>
  </si>
  <si>
    <t>368,5 (+94,4)</t>
  </si>
  <si>
    <t>725,5 (+159,9)</t>
  </si>
  <si>
    <t>1012,7 (+199,7)</t>
  </si>
  <si>
    <t>1159,1 (+263,6)</t>
  </si>
  <si>
    <t>1168,8 (+273,4)</t>
  </si>
  <si>
    <t>11,5 (+11,5)</t>
  </si>
  <si>
    <t>157,2 (+89,3)</t>
  </si>
  <si>
    <t>361,4 (+87,1)</t>
  </si>
  <si>
    <t>712,5 (+148,3)</t>
  </si>
  <si>
    <t>994,6 (+185,2)</t>
  </si>
  <si>
    <t>1127,2 (+238,1)</t>
  </si>
  <si>
    <t>1133,4 (+244,4)</t>
  </si>
  <si>
    <t>173,8 (+94,4)</t>
  </si>
  <si>
    <t>416,3 (+116,7)</t>
  </si>
  <si>
    <t>800,0 (+196,6)</t>
  </si>
  <si>
    <t>1122,0 (+259,5)</t>
  </si>
  <si>
    <t>1298,8 (+342,8)</t>
  </si>
  <si>
    <t>1314,2 (+358,0)</t>
  </si>
  <si>
    <t>1 mars-31 mai</t>
  </si>
  <si>
    <t>1 mars-30 juin</t>
  </si>
  <si>
    <t>1 mars-31 juil</t>
  </si>
  <si>
    <t>1 mars-31 aout</t>
  </si>
  <si>
    <t>1 mars-31 oct</t>
  </si>
  <si>
    <t>10,4 (+10,4)</t>
  </si>
  <si>
    <t>14,3 (+14,3)</t>
  </si>
  <si>
    <t>83,5 (+71,0)</t>
  </si>
  <si>
    <t>2,7 (+2,7)</t>
  </si>
  <si>
    <t>17,9 (+17,9)</t>
  </si>
  <si>
    <t>123,6 (+92,2)</t>
  </si>
  <si>
    <t>2,0 (+2,0)</t>
  </si>
  <si>
    <t>18,0 (+18,0)</t>
  </si>
  <si>
    <t>122,5 (+95,6)</t>
  </si>
  <si>
    <t>5,7 (+5,7)</t>
  </si>
  <si>
    <t>25,0 (+25,0)</t>
  </si>
  <si>
    <t>150,7 (+115,7)</t>
  </si>
  <si>
    <t>8,9 (+8,9)</t>
  </si>
  <si>
    <t>24,5 (+24,5)</t>
  </si>
  <si>
    <t>178,1 (+99,6)</t>
  </si>
  <si>
    <t>40,6 (+40,6)</t>
  </si>
  <si>
    <t>201,2 (+136,4)</t>
  </si>
  <si>
    <t>8,2 (+8,2)</t>
  </si>
  <si>
    <t>23,3 (+23,3)</t>
  </si>
  <si>
    <t>138,5 (+80,7)</t>
  </si>
  <si>
    <t>9,4 (+9,4)</t>
  </si>
  <si>
    <t>26,5 (+26,5)</t>
  </si>
  <si>
    <t>149,4 (+100,2)</t>
  </si>
  <si>
    <t>18,8 (+18,8)</t>
  </si>
  <si>
    <t>37,0 (+37,0)</t>
  </si>
  <si>
    <t>185,0 (+115,7)</t>
  </si>
  <si>
    <t>26,3 (+26,3)</t>
  </si>
  <si>
    <t>44,5 (+44,5)</t>
  </si>
  <si>
    <t>194,2 (+125,1)</t>
  </si>
  <si>
    <t>13,5 (+13,5)</t>
  </si>
  <si>
    <t>28,8 (+28,8)</t>
  </si>
  <si>
    <t>167,3 (+95,4)</t>
  </si>
  <si>
    <t>3,1 (+3,1)</t>
  </si>
  <si>
    <t>11,8 (+11,8)</t>
  </si>
  <si>
    <t>129,5 (+66,1)</t>
  </si>
  <si>
    <t>12,6 (+12,6)</t>
  </si>
  <si>
    <t>28,2 (+27,7)</t>
  </si>
  <si>
    <t>187,4 (+90,0)</t>
  </si>
  <si>
    <t>9,3 (+9,3)</t>
  </si>
  <si>
    <t>19,1 (+19,1)</t>
  </si>
  <si>
    <t>144,4 (+96,2)</t>
  </si>
  <si>
    <t>15,9 (n/d)</t>
  </si>
  <si>
    <t>28,7 (n/d)</t>
  </si>
  <si>
    <t>183,9 (n/d)</t>
  </si>
  <si>
    <t>27,5 (+27,5)</t>
  </si>
  <si>
    <t>45,1 (+44,2)</t>
  </si>
  <si>
    <t>210,0 (+111,0)</t>
  </si>
  <si>
    <t>18,6 (+18,6)</t>
  </si>
  <si>
    <t>38,3 (+38,3)</t>
  </si>
  <si>
    <t>204,7 (+123,0)</t>
  </si>
  <si>
    <t>16,7 (+16,7)</t>
  </si>
  <si>
    <t>31,8 (+31,8)</t>
  </si>
  <si>
    <t>159,9 (+91,3)</t>
  </si>
  <si>
    <t>37,4 (+37,4)</t>
  </si>
  <si>
    <t>59,9 (+59,9)</t>
  </si>
  <si>
    <t>229,2 (+175,0)</t>
  </si>
  <si>
    <t>33,1 (+33,1)</t>
  </si>
  <si>
    <t>55,7 (+54,1)</t>
  </si>
  <si>
    <t>247,8 (+137,7)</t>
  </si>
  <si>
    <t>23,9 (+23,9)</t>
  </si>
  <si>
    <t>43,8 (+42,3)</t>
  </si>
  <si>
    <t>227,8 (+118,7)</t>
  </si>
  <si>
    <t>16,9 (+16,9)</t>
  </si>
  <si>
    <t>35,7 (+34,3)</t>
  </si>
  <si>
    <t>217,7 (+107,4)</t>
  </si>
  <si>
    <t>24,1 (+24,1)</t>
  </si>
  <si>
    <t>41,1 (+39,7)</t>
  </si>
  <si>
    <t>216,1 (+111,2)</t>
  </si>
  <si>
    <t>29,2 (+29,2)</t>
  </si>
  <si>
    <t>48,9 (+47,0)</t>
  </si>
  <si>
    <t>219,6 (+109,2)</t>
  </si>
  <si>
    <t>27,9 (+27,9)</t>
  </si>
  <si>
    <t>50,2 (+48,4)</t>
  </si>
  <si>
    <t>236,9 (+123,8)</t>
  </si>
  <si>
    <t>30,9 (+30,9)</t>
  </si>
  <si>
    <t>53,2 (+51,4)</t>
  </si>
  <si>
    <t>233,7 (+123,8)</t>
  </si>
  <si>
    <t>23,1 (+23,1)</t>
  </si>
  <si>
    <t>45,7 (+43,8)</t>
  </si>
  <si>
    <t>219,4 (+108,6)</t>
  </si>
  <si>
    <t>11,1 (+11,1)</t>
  </si>
  <si>
    <t>20,6 (+20,6)</t>
  </si>
  <si>
    <t>149,7 (+88,7)</t>
  </si>
  <si>
    <t>26,0 (+26,0)</t>
  </si>
  <si>
    <t>39,2 (+39,2)</t>
  </si>
  <si>
    <t>223,8 (+134,1)</t>
  </si>
  <si>
    <t>11,7 (+11,7)</t>
  </si>
  <si>
    <t>22,9 (+22,9)</t>
  </si>
  <si>
    <t>161,2 (+86,1)</t>
  </si>
  <si>
    <t>14,1 (+14,1)</t>
  </si>
  <si>
    <t>112,7 (+84,8)</t>
  </si>
  <si>
    <t>1 mars au 30 avril</t>
  </si>
  <si>
    <t>1 mars au 31 mai</t>
  </si>
  <si>
    <t>1 mars au 30 juin</t>
  </si>
  <si>
    <t>1 mars au 31 juil.</t>
  </si>
  <si>
    <t>1 mars au 31 août</t>
  </si>
  <si>
    <t>1 mars au 30 sept.</t>
  </si>
  <si>
    <t>1 mars-31 août 2011</t>
  </si>
  <si>
    <t>31,8 (+19,2)</t>
  </si>
  <si>
    <t>131,0 (-24,9)</t>
  </si>
  <si>
    <t>403,6 (+15,0)</t>
  </si>
  <si>
    <t>622,7 (+46,0)</t>
  </si>
  <si>
    <t>744,6 (+125,7)</t>
  </si>
  <si>
    <t>767,3 (+148,5)</t>
  </si>
  <si>
    <t>58,2 (+26,8)</t>
  </si>
  <si>
    <t>236,9 (+35,1)</t>
  </si>
  <si>
    <t>572,4 (+110,2)</t>
  </si>
  <si>
    <t>844,0 (+164,4)</t>
  </si>
  <si>
    <t>1017,5 (+275,8)</t>
  </si>
  <si>
    <t>1047,5 (+305,9)</t>
  </si>
  <si>
    <t>57,8 (+30,8)</t>
  </si>
  <si>
    <t>249,6 (+65,1)</t>
  </si>
  <si>
    <t>581,4 (+153,4)</t>
  </si>
  <si>
    <t>859,6 (+232,0)</t>
  </si>
  <si>
    <t>1021,2 (+343,8)</t>
  </si>
  <si>
    <t>1047,8 (+370,4)</t>
  </si>
  <si>
    <t>59,5 (+24,5)</t>
  </si>
  <si>
    <t>260,6 (+50,2)</t>
  </si>
  <si>
    <t>614,9 (+139,1)</t>
  </si>
  <si>
    <t>909,0 (+210,9)</t>
  </si>
  <si>
    <t>1101,3 (+338,2)</t>
  </si>
  <si>
    <t>1131,9 (+368,8)</t>
  </si>
  <si>
    <t>1132,2 (+369,0)</t>
  </si>
  <si>
    <t>8,8 (+8,8)</t>
  </si>
  <si>
    <t>116,9 (+38,4)</t>
  </si>
  <si>
    <t>359,7 (+63,1)</t>
  </si>
  <si>
    <t>714,7 (+117,5)</t>
  </si>
  <si>
    <t>1017,5 (+164,4)</t>
  </si>
  <si>
    <t>1209,4 (+263,5)</t>
  </si>
  <si>
    <t>1247,7 (+301,6)</t>
  </si>
  <si>
    <t>1253,0 (+306,9)</t>
  </si>
  <si>
    <t>20,7 (+20,7)</t>
  </si>
  <si>
    <t>148,9 (+84,1)</t>
  </si>
  <si>
    <t>387,0 (+124,1)</t>
  </si>
  <si>
    <t>735,2 (+191,8)</t>
  </si>
  <si>
    <t>1025,9 (+245,9)</t>
  </si>
  <si>
    <t>1226,6 (+368,2)</t>
  </si>
  <si>
    <t>1274,9 (+416,4)</t>
  </si>
  <si>
    <t>1282,5 (+424,0)</t>
  </si>
  <si>
    <t>1,8 (+1,8)</t>
  </si>
  <si>
    <t>79,8 (+22,1)</t>
  </si>
  <si>
    <t>288,6 (+35,0)</t>
  </si>
  <si>
    <t>599,1 (+63,6)</t>
  </si>
  <si>
    <t>870,7 (+97,9)</t>
  </si>
  <si>
    <t>1031,1 (+182,4)</t>
  </si>
  <si>
    <t>1057,7 (+209,0)</t>
  </si>
  <si>
    <t>1059,2 (+210,5)</t>
  </si>
  <si>
    <t>76,0 (+26,8)</t>
  </si>
  <si>
    <t>286,4 (+50,4)</t>
  </si>
  <si>
    <t>616,3 (+105,4)</t>
  </si>
  <si>
    <t>887,0 (+146,1)</t>
  </si>
  <si>
    <t>1061,3 (+250,3)</t>
  </si>
  <si>
    <t>1090,3 (+279,3)</t>
  </si>
  <si>
    <t>1092,8 (+281,8)</t>
  </si>
  <si>
    <t>21,9 (+21,9)</t>
  </si>
  <si>
    <t>150,5 (+81,2)</t>
  </si>
  <si>
    <t>372,6 (+101,4)</t>
  </si>
  <si>
    <t>697,9 (+141,8)</t>
  </si>
  <si>
    <t>981,9 (+182,6)</t>
  </si>
  <si>
    <t>1163,8 (+275,3)</t>
  </si>
  <si>
    <t>1204,0 (+315,1)</t>
  </si>
  <si>
    <t>1214,3 (+325,4)</t>
  </si>
  <si>
    <t>21,4 (+21,4)</t>
  </si>
  <si>
    <t>144,7 (+75,5)</t>
  </si>
  <si>
    <t>360,6 (+91,6)</t>
  </si>
  <si>
    <t>693,9 (+141,7)</t>
  </si>
  <si>
    <t>976,8 (+183,1)</t>
  </si>
  <si>
    <t>1163,3 (+280,4)</t>
  </si>
  <si>
    <t>1207,6 (+324,4)</t>
  </si>
  <si>
    <t>1215,6 (+332,4)</t>
  </si>
  <si>
    <t>18,1 (+18,1)</t>
  </si>
  <si>
    <t>133,8 (+61,9)</t>
  </si>
  <si>
    <t>345,1 (+67,3)</t>
  </si>
  <si>
    <t>644,4 (+77,9)</t>
  </si>
  <si>
    <t>924,5 (+112,2)</t>
  </si>
  <si>
    <t>1109,3 (+208,3)</t>
  </si>
  <si>
    <t>1145,5 (+244,1)</t>
  </si>
  <si>
    <t>1151,4 (+250,0)</t>
  </si>
  <si>
    <t>1,2 (+1,2)</t>
  </si>
  <si>
    <t>74,0 (+10,6)</t>
  </si>
  <si>
    <t>278,0 (+15,1)</t>
  </si>
  <si>
    <t>601,3 (+55,6)</t>
  </si>
  <si>
    <t>865,9 (+83,7)</t>
  </si>
  <si>
    <t>1014,6 (+159,5)</t>
  </si>
  <si>
    <t>1038,1 (+183,0)</t>
  </si>
  <si>
    <t>1038,7 (+183,6)</t>
  </si>
  <si>
    <t>10,0 (+9,5)</t>
  </si>
  <si>
    <t>117,7 (+20,3)</t>
  </si>
  <si>
    <t>380,6 (+44,7)</t>
  </si>
  <si>
    <t>758,4 (+99,6)</t>
  </si>
  <si>
    <t>1071,2 (+134,8)</t>
  </si>
  <si>
    <t>1273,5 (+226,6)</t>
  </si>
  <si>
    <t>1315,2 (+267,5)</t>
  </si>
  <si>
    <t>1317,8 (+270,1)</t>
  </si>
  <si>
    <t>11,9 (+11,9)</t>
  </si>
  <si>
    <t>98,6 (+50,5)</t>
  </si>
  <si>
    <t>310,8 (+90,6)</t>
  </si>
  <si>
    <t>620,4 (+150,4)</t>
  </si>
  <si>
    <t>881,4 (+206,1)</t>
  </si>
  <si>
    <t>1040,9 (+310,2)</t>
  </si>
  <si>
    <t>1066,5 (+335,9)</t>
  </si>
  <si>
    <t>1068,2 (+337,6)</t>
  </si>
  <si>
    <t>11,9 (n/d)</t>
  </si>
  <si>
    <t>131,7 (n/d)</t>
  </si>
  <si>
    <t>391,8 (n/d)</t>
  </si>
  <si>
    <t>758,8 (n/d)</t>
  </si>
  <si>
    <t>1074,2 (n/d)</t>
  </si>
  <si>
    <t>1285,5 (n/d)</t>
  </si>
  <si>
    <t>1329,5 (n/d)</t>
  </si>
  <si>
    <t>1332,4 (n/d)</t>
  </si>
  <si>
    <t>12,1 (+11,3)</t>
  </si>
  <si>
    <t>125,6 (+26,5)</t>
  </si>
  <si>
    <t>381,2 (+46,1)</t>
  </si>
  <si>
    <t>763,1 (+106,0)</t>
  </si>
  <si>
    <t>1084,7 (+149,6)</t>
  </si>
  <si>
    <t>1294,7 (+243,1)</t>
  </si>
  <si>
    <t>1337,5 (+284,8)</t>
  </si>
  <si>
    <t>1342,4 (+289,7)</t>
  </si>
  <si>
    <t>22,0 (+22,0)</t>
  </si>
  <si>
    <t>159,4 (+77,8)</t>
  </si>
  <si>
    <t>396,7 (+99,9)</t>
  </si>
  <si>
    <t>748,4 (+154,8)</t>
  </si>
  <si>
    <t>1050,5 (+203,4)</t>
  </si>
  <si>
    <t>1253,3 (+307,2)</t>
  </si>
  <si>
    <t>1305,3 (+358,6)</t>
  </si>
  <si>
    <t>1314,4 (+367,7)</t>
  </si>
  <si>
    <t>19,2 (+19,2)</t>
  </si>
  <si>
    <t>136,4 (+67,8)</t>
  </si>
  <si>
    <t>328,4 (+61,2)</t>
  </si>
  <si>
    <t>627,1 (+79,2)</t>
  </si>
  <si>
    <t>884,0 (+97,8)</t>
  </si>
  <si>
    <t>1045,7 (+172,5)</t>
  </si>
  <si>
    <t>1080,2 (+206,8)</t>
  </si>
  <si>
    <t>1085,0 (+211,6)</t>
  </si>
  <si>
    <t>29,6 (+29,6)</t>
  </si>
  <si>
    <t>179,5 (+125,3)</t>
  </si>
  <si>
    <t>418,8 (+183,7)</t>
  </si>
  <si>
    <t>773,2 (+270,6)</t>
  </si>
  <si>
    <t>1081,1 (+353,3)</t>
  </si>
  <si>
    <t>1291,5 (+498,4)</t>
  </si>
  <si>
    <t>1343,6 (+550,5)</t>
  </si>
  <si>
    <t>1353,0 (+559,9)</t>
  </si>
  <si>
    <t>18,7 (+17,1)</t>
  </si>
  <si>
    <t>159,5 (+49,4)</t>
  </si>
  <si>
    <t>447,9 (+89,5)</t>
  </si>
  <si>
    <t>835,8 (+146,1)</t>
  </si>
  <si>
    <t>1156,8 (+178,7)</t>
  </si>
  <si>
    <t>1381,4 (+272,6)</t>
  </si>
  <si>
    <t>1442,1 (+330,2)</t>
  </si>
  <si>
    <t>1450,0 (+338,1)</t>
  </si>
  <si>
    <t>13,4 (+12,0)</t>
  </si>
  <si>
    <t>138,9 (+29,8)</t>
  </si>
  <si>
    <t>413,9 (+57,6)</t>
  </si>
  <si>
    <t>791,5 (+107,3)</t>
  </si>
  <si>
    <t>1112,5 (+144,3)</t>
  </si>
  <si>
    <t>1323,9 (+231,2)</t>
  </si>
  <si>
    <t>1379,5 (+284,4)</t>
  </si>
  <si>
    <t>1385,2 (+290,2)</t>
  </si>
  <si>
    <t>13,5 (+12,1)</t>
  </si>
  <si>
    <t>134,4 (+24,1)</t>
  </si>
  <si>
    <t>414,4 (+53,9)</t>
  </si>
  <si>
    <t>812,9 (+117,3)</t>
  </si>
  <si>
    <t>1153,2 (+166,3)</t>
  </si>
  <si>
    <t>1373,9 (+260,4)</t>
  </si>
  <si>
    <t>1424,2 (+308,5)</t>
  </si>
  <si>
    <t>1426,3 (+310,6)</t>
  </si>
  <si>
    <t>13,0 (+11,6)</t>
  </si>
  <si>
    <t>143,5 (+38,5)</t>
  </si>
  <si>
    <t>426,6 (+79,0)</t>
  </si>
  <si>
    <t>804,6 (+128,1)</t>
  </si>
  <si>
    <t>1125,2 (+162,5)</t>
  </si>
  <si>
    <t>1342,5 (+252,2)</t>
  </si>
  <si>
    <t>1389,2 (+296,6)</t>
  </si>
  <si>
    <t>1392,7 (+300,1)</t>
  </si>
  <si>
    <t>21,7 (+19,7)</t>
  </si>
  <si>
    <t>140,4 (+30,0)</t>
  </si>
  <si>
    <t>392,5 (+33,2)</t>
  </si>
  <si>
    <t>772,7 (+76,7)</t>
  </si>
  <si>
    <t>1094,9 (+106,8)</t>
  </si>
  <si>
    <t>1303,6 (+179,4)</t>
  </si>
  <si>
    <t>1357,0 (+229,0)</t>
  </si>
  <si>
    <t>1363,5 (+235,6)</t>
  </si>
  <si>
    <t>19,0 (+17,3)</t>
  </si>
  <si>
    <t>159,0 (+45,9)</t>
  </si>
  <si>
    <t>443,2 (+78,6)</t>
  </si>
  <si>
    <t>831,2 (+128,6)</t>
  </si>
  <si>
    <t>1147,3 (+150,0)</t>
  </si>
  <si>
    <t>1359,2 (+226,4)</t>
  </si>
  <si>
    <t>1414,1 (+277,9)</t>
  </si>
  <si>
    <t>1421,2 (+285,0)</t>
  </si>
  <si>
    <t>26,2 (+24,4)</t>
  </si>
  <si>
    <t>164,9 (+55,1)</t>
  </si>
  <si>
    <t>429,7 (+72,0)</t>
  </si>
  <si>
    <t>810,8 (+118,1)</t>
  </si>
  <si>
    <t>1124,5 (+140,6)</t>
  </si>
  <si>
    <t>1333,0 (+213,2)</t>
  </si>
  <si>
    <t>1390,5 (+267,0)</t>
  </si>
  <si>
    <t>1395,8 (+272,3)</t>
  </si>
  <si>
    <t>23,4 (+21,5)</t>
  </si>
  <si>
    <t>156,4 (+45,6)</t>
  </si>
  <si>
    <t>413,2 (+52,8)</t>
  </si>
  <si>
    <t>801,2 (+103,5)</t>
  </si>
  <si>
    <t>1107,9 (+117,1)</t>
  </si>
  <si>
    <t>1310,4 (+183,9)</t>
  </si>
  <si>
    <t>1361,1 (+231,1)</t>
  </si>
  <si>
    <t>1367,9 (+237,8)</t>
  </si>
  <si>
    <t>16,2 (+16,2)</t>
  </si>
  <si>
    <t>113,3 (+52,3)</t>
  </si>
  <si>
    <t>336,7 (+85,8)</t>
  </si>
  <si>
    <t>662,8 (+140,9)</t>
  </si>
  <si>
    <t>938,1 (+189,4)</t>
  </si>
  <si>
    <t>1112,5 (+294,3)</t>
  </si>
  <si>
    <t>1143,5 (+325,3)</t>
  </si>
  <si>
    <t>1145,9 (+327,7)</t>
  </si>
  <si>
    <t>20,2 (+20,2)</t>
  </si>
  <si>
    <t>167,4 (+77,8)</t>
  </si>
  <si>
    <t>441,7 (+126,3)</t>
  </si>
  <si>
    <t>795,2 (+168,6)</t>
  </si>
  <si>
    <t>1090,6 (+197,0)</t>
  </si>
  <si>
    <t>1308,0 (+310,8)</t>
  </si>
  <si>
    <t>1362,7 (+365,0)</t>
  </si>
  <si>
    <t>1367,7 (+370,0)</t>
  </si>
  <si>
    <t>14,0 (+14,0)</t>
  </si>
  <si>
    <t>117,9 (+42,8)</t>
  </si>
  <si>
    <t>341,8 (+58,8)</t>
  </si>
  <si>
    <t>673,8 (+100,3)</t>
  </si>
  <si>
    <t>954,8 (+134,7)</t>
  </si>
  <si>
    <t>1134,2 (+228,0)</t>
  </si>
  <si>
    <t>1166,6 (+260,4)</t>
  </si>
  <si>
    <t>1168,6 (+262,4)</t>
  </si>
  <si>
    <t>53,5 (+25,6)</t>
  </si>
  <si>
    <t>230,2 (+41,7)</t>
  </si>
  <si>
    <t>507,8 (+75,7)</t>
  </si>
  <si>
    <t>756,2 (+127,7)</t>
  </si>
  <si>
    <t>878,0 (+203,9)</t>
  </si>
  <si>
    <t>907,7 (+233,6)</t>
  </si>
  <si>
    <t>1 mars-31 mars 2012</t>
  </si>
  <si>
    <t>1 mars-30 avril 2012</t>
  </si>
  <si>
    <t>1 mars-31 mai 2012</t>
  </si>
  <si>
    <t>0,0 (0,0)</t>
  </si>
  <si>
    <t>0,5 (+0,5)</t>
  </si>
  <si>
    <t>86,5 (+74,0)</t>
  </si>
  <si>
    <t>239,9 (+83,9)</t>
  </si>
  <si>
    <t>515,8 (+127,1)</t>
  </si>
  <si>
    <t>772,7 (+196,0)</t>
  </si>
  <si>
    <t>859,6 (+240,7)</t>
  </si>
  <si>
    <t>863,1 (+244,2)</t>
  </si>
  <si>
    <t>8,3 (+8,3)</t>
  </si>
  <si>
    <t>120,6 (+89,2)</t>
  </si>
  <si>
    <t>321,9 (+120,1)</t>
  </si>
  <si>
    <t>665,0 (+202,8)</t>
  </si>
  <si>
    <t>971,1 (+291,5)</t>
  </si>
  <si>
    <t>1097,9 (+356,2)</t>
  </si>
  <si>
    <t>1109,2 (+367,5)</t>
  </si>
  <si>
    <t>9,1 (+9,1)</t>
  </si>
  <si>
    <t>131,6 (+104,6)</t>
  </si>
  <si>
    <t>336,1 (+151,6)</t>
  </si>
  <si>
    <t>693,6 (+265,6)</t>
  </si>
  <si>
    <t>982,6 (+355,0)</t>
  </si>
  <si>
    <t>1100,1 (+422,7)</t>
  </si>
  <si>
    <t>1108,6 (+431,2)</t>
  </si>
  <si>
    <t>Saint-François I,O,</t>
  </si>
  <si>
    <t>17,8 (+17,8)</t>
  </si>
  <si>
    <t>159,2 (+124,2)</t>
  </si>
  <si>
    <t>385,4 (+175,0)</t>
  </si>
  <si>
    <t>766,5 (+290,7)</t>
  </si>
  <si>
    <t>1088,7 (+390,6)</t>
  </si>
  <si>
    <t>1225,1 (+461,9)</t>
  </si>
  <si>
    <t>1236,8 (+473,6)</t>
  </si>
  <si>
    <t>18,9 (+18,9)</t>
  </si>
  <si>
    <t>176,7 (+98,2)</t>
  </si>
  <si>
    <t>404,7 (+108,2)</t>
  </si>
  <si>
    <t>762,1 (+165,0)</t>
  </si>
  <si>
    <t>1052,3 (+199,3)</t>
  </si>
  <si>
    <t>1215,1 (+269,3)</t>
  </si>
  <si>
    <t>1228,9 (+282,7)</t>
  </si>
  <si>
    <t>32,8 (+32,8)</t>
  </si>
  <si>
    <t>202,2 (+137,5)</t>
  </si>
  <si>
    <t>423,6 (+160,8)</t>
  </si>
  <si>
    <t>787,5 (+244,1)</t>
  </si>
  <si>
    <t>1088,1 (+308,2)</t>
  </si>
  <si>
    <t>1250,3 (+392,0)</t>
  </si>
  <si>
    <t>1274,2 (+415,7)</t>
  </si>
  <si>
    <t>9,2 (+9,2)</t>
  </si>
  <si>
    <t>134,5 (+76,7)</t>
  </si>
  <si>
    <t>326,4 (+72,9)</t>
  </si>
  <si>
    <t>665,3 (+129,8)</t>
  </si>
  <si>
    <t>945,5 (+172,7)</t>
  </si>
  <si>
    <t>1089,3 (+240,5)</t>
  </si>
  <si>
    <t>1098,6 (+249,8)</t>
  </si>
  <si>
    <t>14,5 (+14,5)</t>
  </si>
  <si>
    <t>143,8 (+94,7)</t>
  </si>
  <si>
    <t>345,9 (+109,8)</t>
  </si>
  <si>
    <t>708,3 (+197,5)</t>
  </si>
  <si>
    <t>1005,4 (+264,5)</t>
  </si>
  <si>
    <t>1146,9 (+335,9)</t>
  </si>
  <si>
    <t>1155,4 (+344,4)</t>
  </si>
  <si>
    <t>27,2 (+27,2)</t>
  </si>
  <si>
    <t>168,6 (+99,3)</t>
  </si>
  <si>
    <t>378,2 (+107,0)</t>
  </si>
  <si>
    <t>741,6 (+185,5)</t>
  </si>
  <si>
    <t>1021,5 (+222,2)</t>
  </si>
  <si>
    <t>1188,7 (+300,1)</t>
  </si>
  <si>
    <t>1205,7 (+316,7)</t>
  </si>
  <si>
    <t>24,0 (+24,0)</t>
  </si>
  <si>
    <t>163,3 (+94,2)</t>
  </si>
  <si>
    <t>366,6 (+97,6)</t>
  </si>
  <si>
    <t>729,6 (+177,4)</t>
  </si>
  <si>
    <t>1019,7 (+225,9)</t>
  </si>
  <si>
    <t>1184,2 (+301,3)</t>
  </si>
  <si>
    <t>1203,4 (+320,2)</t>
  </si>
  <si>
    <t>20,8 (+20,8)</t>
  </si>
  <si>
    <t>155,5 (+83,6)</t>
  </si>
  <si>
    <t>354,3 (+76,5)</t>
  </si>
  <si>
    <t>709,2 (+142,7)</t>
  </si>
  <si>
    <t>981,7 (+169,5)</t>
  </si>
  <si>
    <t>1131,7 (+230,7)</t>
  </si>
  <si>
    <t>1151,1 (+249,7)</t>
  </si>
  <si>
    <t>2,5 (+2,5)</t>
  </si>
  <si>
    <t>126,6 (+63,2)</t>
  </si>
  <si>
    <t>318,8 (+55,9)</t>
  </si>
  <si>
    <t>650,7 (+105,0)</t>
  </si>
  <si>
    <t>908,9 (+126,6)</t>
  </si>
  <si>
    <t>1035,3 (+180,2)</t>
  </si>
  <si>
    <t>1043,0 (+187,9)</t>
  </si>
  <si>
    <t>25,9 (+25,4)</t>
  </si>
  <si>
    <t>212,8 (+115,4)</t>
  </si>
  <si>
    <t>460,9 (+125,0)</t>
  </si>
  <si>
    <t>843,5 (+184,6)</t>
  </si>
  <si>
    <t>1156,8 (+220,5)</t>
  </si>
  <si>
    <t>1321,7 (+274,7)</t>
  </si>
  <si>
    <t>1337,4 (+289,7)</t>
  </si>
  <si>
    <t>141,4 (+93,2)</t>
  </si>
  <si>
    <t>309,3 (+89,2)</t>
  </si>
  <si>
    <t>623,3 (+153,3)</t>
  </si>
  <si>
    <t>878,7 (+203,3)</t>
  </si>
  <si>
    <t>998,4 (+267,7)</t>
  </si>
  <si>
    <t>1008,4 (+277,7)</t>
  </si>
  <si>
    <t>0,0 (n/d)</t>
  </si>
  <si>
    <t>27,0 (n/d)</t>
  </si>
  <si>
    <t>205,5 (n/d)</t>
  </si>
  <si>
    <t>439,6 (n/d)</t>
  </si>
  <si>
    <t>813,8 (n/d)</t>
  </si>
  <si>
    <t>1122,4 (n/d)</t>
  </si>
  <si>
    <t>1280,3 (n/d)</t>
  </si>
  <si>
    <t>1301,3 (n/d)</t>
  </si>
  <si>
    <t>27,0 (+26,2)</t>
  </si>
  <si>
    <t>204,6 (+105,5)</t>
  </si>
  <si>
    <t>434,2 (+99,2)</t>
  </si>
  <si>
    <t>807,1 (+150,0)</t>
  </si>
  <si>
    <t>1109,4 (+174,4)</t>
  </si>
  <si>
    <t>1267,2 (+215,7)</t>
  </si>
  <si>
    <t>1287,0 (+234,4)</t>
  </si>
  <si>
    <t>179,7 (+98,1)</t>
  </si>
  <si>
    <t>397,3 (+100,6)</t>
  </si>
  <si>
    <t>774,2 (+180,6)</t>
  </si>
  <si>
    <t>1078,4 (+231,2)</t>
  </si>
  <si>
    <t>1258,7 (+312,6)</t>
  </si>
  <si>
    <t>1281,1 (+334,3)</t>
  </si>
  <si>
    <t>19,8 (+19,8)</t>
  </si>
  <si>
    <t>137,2 (+68,6)</t>
  </si>
  <si>
    <t>315,9 (+48,8)</t>
  </si>
  <si>
    <t>641,7 (+93,8)</t>
  </si>
  <si>
    <t>893,9 (+107,6)</t>
  </si>
  <si>
    <t>1037,4 (+164,2)</t>
  </si>
  <si>
    <t>1051,7 (+178,3)</t>
  </si>
  <si>
    <t>36,2 (+36,2)</t>
  </si>
  <si>
    <t>197,5 (+143,3)</t>
  </si>
  <si>
    <t>416,6 (+181,6)</t>
  </si>
  <si>
    <t>791,9 (+289,2)</t>
  </si>
  <si>
    <t>1100,4 (+372,6)</t>
  </si>
  <si>
    <t>1287,0 (+493,9)</t>
  </si>
  <si>
    <t>1314,5 (+521,4)</t>
  </si>
  <si>
    <t>1315,0 (+521,9)</t>
  </si>
  <si>
    <t>33,0 (+31,5)</t>
  </si>
  <si>
    <t>227,5 (+117,4)</t>
  </si>
  <si>
    <t>479,7 (+121,3)</t>
  </si>
  <si>
    <t>874,2 (+184,5)</t>
  </si>
  <si>
    <t>1193,9 (+215,8)</t>
  </si>
  <si>
    <t>1390,0 (+281,2)</t>
  </si>
  <si>
    <t>1417,1 (+305,2)</t>
  </si>
  <si>
    <t>1417,2 (+305,3)</t>
  </si>
  <si>
    <t>27,7 (+26,3)</t>
  </si>
  <si>
    <t>211,6 (+102,4)</t>
  </si>
  <si>
    <t>456,3 (+99,9)</t>
  </si>
  <si>
    <t>838,2 (+154,0)</t>
  </si>
  <si>
    <t>1144,5 (+176,3)</t>
  </si>
  <si>
    <t>1332,5 (+239,8)</t>
  </si>
  <si>
    <t>1354,2 (+259,2)</t>
  </si>
  <si>
    <t>33,0 (+31,6)</t>
  </si>
  <si>
    <t>222,0 (+111,8)</t>
  </si>
  <si>
    <t>469,0 (+108,5)</t>
  </si>
  <si>
    <t>868,5 (+172,8)</t>
  </si>
  <si>
    <t>1197,6 (+210,7)</t>
  </si>
  <si>
    <t>1380,5 (+267,0)</t>
  </si>
  <si>
    <t>1400,9 (+285,2)</t>
  </si>
  <si>
    <t>18,2 (+16,9)</t>
  </si>
  <si>
    <t>200,0 (+95,0)</t>
  </si>
  <si>
    <t>431,8 (+84,2)</t>
  </si>
  <si>
    <t>799,8 (+123,2)</t>
  </si>
  <si>
    <t>1105,4 (+142,7)</t>
  </si>
  <si>
    <t>1284,0 (+193,7)</t>
  </si>
  <si>
    <t>1306,5 (+213,9)</t>
  </si>
  <si>
    <t>30,3 (+28,4)</t>
  </si>
  <si>
    <t>199,4 (+89,1)</t>
  </si>
  <si>
    <t>433,3 (+74,0)</t>
  </si>
  <si>
    <t>824,6 (+128,5)</t>
  </si>
  <si>
    <t>1135,9 (+147,8)</t>
  </si>
  <si>
    <t>1314,4 (+190,1)</t>
  </si>
  <si>
    <t>1342,4 (+214,4)</t>
  </si>
  <si>
    <t>1344,2 (+216,2)</t>
  </si>
  <si>
    <t>33,5 (+31,8)</t>
  </si>
  <si>
    <t>230,9 (+117,9)</t>
  </si>
  <si>
    <t>475,6 (+111,0)</t>
  </si>
  <si>
    <t>861,3 (+158,7)</t>
  </si>
  <si>
    <t>1163,5 (+166,3)</t>
  </si>
  <si>
    <t>1350,9 (+218,1)</t>
  </si>
  <si>
    <t>1377,7 (+241,5)</t>
  </si>
  <si>
    <t>1378,2 (+242,0)</t>
  </si>
  <si>
    <t>0,1 (+0,1)</t>
  </si>
  <si>
    <t>36,2 (+34,4)</t>
  </si>
  <si>
    <t>223,3 (+113,5)</t>
  </si>
  <si>
    <t>459,8 (+102,1)</t>
  </si>
  <si>
    <t>853,5 (+160,9)</t>
  </si>
  <si>
    <t>1167,7 (+183,9)</t>
  </si>
  <si>
    <t>1355,3 (+235,6)</t>
  </si>
  <si>
    <t>1385,2 (+261,8)</t>
  </si>
  <si>
    <t>1385,5 (+262,1)</t>
  </si>
  <si>
    <t>30,2 (+28,2)</t>
  </si>
  <si>
    <t>201,9 (+91,0)</t>
  </si>
  <si>
    <t>431,5 (+71,1)</t>
  </si>
  <si>
    <t>824,5 (+126,8)</t>
  </si>
  <si>
    <t>1135,9 (+145,1)</t>
  </si>
  <si>
    <t>1310,8 (+184,3)</t>
  </si>
  <si>
    <t>1337,8 (+207,7)</t>
  </si>
  <si>
    <t>1339,1 (+209,0)</t>
  </si>
  <si>
    <t>14,7 (+14,7)</t>
  </si>
  <si>
    <t>156,2 (+95,1)</t>
  </si>
  <si>
    <t>341,0 (+90,0)</t>
  </si>
  <si>
    <t>668,3 (+146,3)</t>
  </si>
  <si>
    <t>932,0 (+183,3)</t>
  </si>
  <si>
    <t>1055,9 (+237,6)</t>
  </si>
  <si>
    <t>1069,8 (+251,6)</t>
  </si>
  <si>
    <t>31,0 (+31,0)</t>
  </si>
  <si>
    <t>216,4 (+126,8)</t>
  </si>
  <si>
    <t>453,5 (+138,1)</t>
  </si>
  <si>
    <t>827,8 (+201,2)</t>
  </si>
  <si>
    <t>1128,2 (+234,6)</t>
  </si>
  <si>
    <t>1284,0 (+286,7)</t>
  </si>
  <si>
    <t>1308,2 (+310,5)</t>
  </si>
  <si>
    <t>16,8 (+16,8)</t>
  </si>
  <si>
    <t>171,0 (+95,9)</t>
  </si>
  <si>
    <t>364,0 (+81,0)</t>
  </si>
  <si>
    <t>703,5 (+130,0)</t>
  </si>
  <si>
    <t>973,7 (+153,6)</t>
  </si>
  <si>
    <t>1106,9 (+200,6)</t>
  </si>
  <si>
    <t>1120,8 (+214,5)</t>
  </si>
  <si>
    <t>5,2 (+5,2)</t>
  </si>
  <si>
    <t>113,3 (+85,4)</t>
  </si>
  <si>
    <t>259,0 (+70,4)</t>
  </si>
  <si>
    <t>570,2 (+138,2)</t>
  </si>
  <si>
    <t>847,1 (+218,6)</t>
  </si>
  <si>
    <t>936,7 (+262,6)</t>
  </si>
  <si>
    <t>941,0 (+266,9)</t>
  </si>
  <si>
    <t>1 mars-31 mars 2011</t>
  </si>
  <si>
    <t>1 mars-30 avril 2011</t>
  </si>
  <si>
    <t>1 mars -30 avril 2010</t>
  </si>
  <si>
    <t>1 mars-31 mai 2010</t>
  </si>
  <si>
    <t>1 mars-30 juin 2010</t>
  </si>
  <si>
    <t>1 mars-31 juil 2010</t>
  </si>
  <si>
    <t>1 mars-31 août 2010</t>
  </si>
  <si>
    <t>1 mars-30 sept. 2010</t>
  </si>
  <si>
    <t>1 mars-31 oct. 2010</t>
  </si>
  <si>
    <t>1 mars-30 nov. 2010</t>
  </si>
  <si>
    <t>1 mars-31 mai 2011</t>
  </si>
  <si>
    <t>1 mars-30 juin 2011</t>
  </si>
  <si>
    <t>(+ -) = écart à la moyenne '71-'00</t>
  </si>
  <si>
    <t>Station</t>
  </si>
  <si>
    <t>Dj (10)</t>
  </si>
  <si>
    <t>Bas-St-Laurent</t>
  </si>
  <si>
    <t>Trois-Pistoles</t>
  </si>
  <si>
    <t>1-31 mars 2010</t>
  </si>
  <si>
    <t>Capitale Nationale</t>
  </si>
  <si>
    <t>Cap Tourmente</t>
  </si>
  <si>
    <t>Chateau-Richer</t>
  </si>
  <si>
    <t>Centre-du-Québec</t>
  </si>
  <si>
    <t>Saint-Wenceslas</t>
  </si>
  <si>
    <t>Tingwick</t>
  </si>
  <si>
    <t>Chaudière-Appalaches</t>
  </si>
  <si>
    <t>Saint-Flavien</t>
  </si>
  <si>
    <t>Scott</t>
  </si>
  <si>
    <t>Estrie</t>
  </si>
  <si>
    <t>Lennoxville</t>
  </si>
  <si>
    <t>Magog</t>
  </si>
  <si>
    <t>Richmond</t>
  </si>
  <si>
    <t>Lanaudière</t>
  </si>
  <si>
    <t>Barrage Saint-Didace</t>
  </si>
  <si>
    <t>Joliette-Ville</t>
  </si>
  <si>
    <t>Laurentide</t>
  </si>
  <si>
    <t>La Macaza</t>
  </si>
  <si>
    <t>Mirabel</t>
  </si>
  <si>
    <t>Oka</t>
  </si>
  <si>
    <t>Montérégie Est</t>
  </si>
  <si>
    <t>Barrage Choinière</t>
  </si>
  <si>
    <t>Brome</t>
  </si>
  <si>
    <t>Frelighsburg</t>
  </si>
  <si>
    <t>Marieville</t>
  </si>
  <si>
    <t>Saint-Hyacinthe-2</t>
  </si>
  <si>
    <t>Verchères</t>
  </si>
  <si>
    <t>Montérégie Ouest</t>
  </si>
  <si>
    <t>Côteau-du-Lac</t>
  </si>
  <si>
    <t>Hemmingford-Four-Winds</t>
  </si>
  <si>
    <t>L'Acadie</t>
  </si>
  <si>
    <t>Saint-Bernard-de-Lacolle</t>
  </si>
  <si>
    <t>Sainte-Clothilde</t>
  </si>
  <si>
    <t>Outaouais</t>
  </si>
  <si>
    <t>Cheneville</t>
  </si>
  <si>
    <t>Luskville</t>
  </si>
  <si>
    <t>Montebello-Sedbergh</t>
  </si>
  <si>
    <t>Saguenay-Lac-St-Jean</t>
  </si>
  <si>
    <t>Lac-Sainte-Croix</t>
  </si>
  <si>
    <t>MOYENNE</t>
  </si>
  <si>
    <t>1 mars-30 juin 2012</t>
  </si>
  <si>
    <t>235,3 (+79,3)</t>
  </si>
  <si>
    <t>333,1 (+131,3)</t>
  </si>
  <si>
    <t>348,7 (+164,2)</t>
  </si>
  <si>
    <t>391,9 (+181,5)</t>
  </si>
  <si>
    <t>441,5 (+144,9)</t>
  </si>
  <si>
    <t>455,0 (+192,2)</t>
  </si>
  <si>
    <t>364,9 (+111,3)</t>
  </si>
  <si>
    <t>379,1 (+143,0)</t>
  </si>
  <si>
    <t>423,9 (+152,7)</t>
  </si>
  <si>
    <t>427,8 (+158,8)</t>
  </si>
  <si>
    <t>399,3 (+121,5)</t>
  </si>
  <si>
    <t>352,5 (+89,6)</t>
  </si>
  <si>
    <t>457,4 (+121,5)</t>
  </si>
  <si>
    <t>371,8 (+151,6)</t>
  </si>
  <si>
    <t>448,0 (n/d)</t>
  </si>
  <si>
    <t>474,4 (+139,4)</t>
  </si>
  <si>
    <t>463,9 (+167,2)</t>
  </si>
  <si>
    <t>365,8 (+98,6)</t>
  </si>
  <si>
    <t>486,9 (+251,8)</t>
  </si>
  <si>
    <t>547,9 (+189,5)</t>
  </si>
  <si>
    <t>516,7 (+160,3)</t>
  </si>
  <si>
    <t>514,2 (+153,7)</t>
  </si>
  <si>
    <t>499,5 (+152,0)</t>
  </si>
  <si>
    <t>475,6 (+116,3)</t>
  </si>
  <si>
    <t>530,9 (+166,3)</t>
  </si>
  <si>
    <t>507,7 (+150,1)</t>
  </si>
  <si>
    <t>486,1 (+125,6)</t>
  </si>
  <si>
    <t>378,2 (+127,3)</t>
  </si>
  <si>
    <t>505,8 (+190,4)</t>
  </si>
  <si>
    <t>395,9 (+112,9)</t>
  </si>
  <si>
    <t>321,1 (+132,5)</t>
  </si>
  <si>
    <t>1 au 31 mars</t>
  </si>
  <si>
    <t>1 mars au 31 oct.</t>
  </si>
  <si>
    <t>1 mars au 30 nov.</t>
  </si>
  <si>
    <t>782.9 (n/d)</t>
  </si>
  <si>
    <t>653.5 (+191.3)</t>
  </si>
  <si>
    <t>671.7 (+243.7)</t>
  </si>
  <si>
    <t>739.0 (+263.2)</t>
  </si>
  <si>
    <t>773.6 (+176.4)</t>
  </si>
  <si>
    <t>793.3 (+249.9)</t>
  </si>
  <si>
    <t>739.8 (+183.7)</t>
  </si>
  <si>
    <t>747.7 (+195.5)</t>
  </si>
  <si>
    <t>660.3 (+114.6)</t>
  </si>
  <si>
    <t>795.0 (+201.4)</t>
  </si>
  <si>
    <t>820.7 (+318.0)</t>
  </si>
  <si>
    <t>914.6 (+224.9)</t>
  </si>
  <si>
    <t>877.7 (+193.5)</t>
  </si>
  <si>
    <t>846.4 (+169.8)</t>
  </si>
  <si>
    <t>810.5 (+114.5)</t>
  </si>
  <si>
    <t>892.1 (+189.5)</t>
  </si>
  <si>
    <t>862.9 (+170.3)</t>
  </si>
  <si>
    <t>828.0 (+130.3)</t>
  </si>
  <si>
    <t>884.5 (+257.9)</t>
  </si>
  <si>
    <t>705.8 (+132.2)</t>
  </si>
  <si>
    <t>1 mars-31 juillet 2012</t>
  </si>
  <si>
    <t xml:space="preserve">1 mars-31 août </t>
  </si>
  <si>
    <t>762,4 (+185,7)</t>
  </si>
  <si>
    <t>963,8 (+284,3)</t>
  </si>
  <si>
    <t>988,6 (+360,9)</t>
  </si>
  <si>
    <t>1076,6 (+378,4)</t>
  </si>
  <si>
    <t>1109,4 (+256,4)</t>
  </si>
  <si>
    <t>1134,1 (+354,1)</t>
  </si>
  <si>
    <t>967,1 (+194,3)</t>
  </si>
  <si>
    <t>997,6 (+256,6)</t>
  </si>
  <si>
    <t>1060,2 (+261,0)</t>
  </si>
  <si>
    <t>1081,0 (+287,3)</t>
  </si>
  <si>
    <t>1036,1 (+223,9)</t>
  </si>
  <si>
    <t>948,0 (+165,8)</t>
  </si>
  <si>
    <t>1139,3 (+202,9)</t>
  </si>
  <si>
    <t>940,4 (+265,0)</t>
  </si>
  <si>
    <t>1103,0 (n/d)</t>
  </si>
  <si>
    <t>1175,2 (+240,1)</t>
  </si>
  <si>
    <t>1142,3 (+295,1)</t>
  </si>
  <si>
    <t>930,2 (+144,0)</t>
  </si>
  <si>
    <t>1164,0 (+436,2)</t>
  </si>
  <si>
    <t>1279,6 (+301,5)</t>
  </si>
  <si>
    <t>1238,7 (+270,5)</t>
  </si>
  <si>
    <t>1260,3 (+273,5)</t>
  </si>
  <si>
    <t>1194,2 (+231,5)</t>
  </si>
  <si>
    <t>1158,1 (+170,0)</t>
  </si>
  <si>
    <t>1238,7 (+241,5)</t>
  </si>
  <si>
    <t>1206,7 (+222,8)</t>
  </si>
  <si>
    <t>1169,7 (+179,0)</t>
  </si>
  <si>
    <t>970,3 (+221,6)</t>
  </si>
  <si>
    <t>1223,5 (+330,0)</t>
  </si>
  <si>
    <t>1000,5 (+180,5)</t>
  </si>
  <si>
    <t>861,6 (+233,1)</t>
  </si>
  <si>
    <t>930.2</t>
  </si>
  <si>
    <t>508.2 (+119.6)</t>
  </si>
  <si>
    <t>661.6 (+126.1)</t>
  </si>
  <si>
    <t>693.2 (+182.3)</t>
  </si>
  <si>
    <t>710.8 (+144.3)</t>
  </si>
  <si>
    <t>807.2 (+148.4)</t>
  </si>
  <si>
    <t>664.3 (+194.4)</t>
  </si>
  <si>
    <t>837.4 (+180.3)</t>
  </si>
  <si>
    <t>644.3 (+96.4)</t>
  </si>
  <si>
    <t>894.8 (+199.1)</t>
  </si>
  <si>
    <t>686.2 (+164.3)</t>
  </si>
  <si>
    <t>598.6 (+166.6)</t>
  </si>
  <si>
    <t>872,3 (+253,5)</t>
  </si>
  <si>
    <t>1107,3 (+365,6)</t>
  </si>
  <si>
    <t>1128,0 (+450,6)</t>
  </si>
  <si>
    <t>1239,2 (+476,1)</t>
  </si>
  <si>
    <t>1267,7 (+321,9)</t>
  </si>
  <si>
    <t>1296,3 (+437,9)</t>
  </si>
  <si>
    <t>1101,5 (+252,8)</t>
  </si>
  <si>
    <t>1165,9 (+354,8)</t>
  </si>
  <si>
    <t>1192,0 (+303,4)</t>
  </si>
  <si>
    <t>1222,3 (+339,5)</t>
  </si>
  <si>
    <t>1159,2 (+258,2)</t>
  </si>
  <si>
    <t>1053,8 (+198,7)</t>
  </si>
  <si>
    <t>1289,3 (+242,3)</t>
  </si>
  <si>
    <t>1043,8 (+313,2)</t>
  </si>
  <si>
    <t>1262,5 (n/d)</t>
  </si>
  <si>
    <t>1337,5 (+285,9)</t>
  </si>
  <si>
    <t>1303,7 (+357,6)</t>
  </si>
  <si>
    <t>1043,8 (+170,6)</t>
  </si>
  <si>
    <t>1328,4 (+535,3)</t>
  </si>
  <si>
    <t>1464,4 (+355,5)</t>
  </si>
  <si>
    <t>1409,4 (+316,7)</t>
  </si>
  <si>
    <t>1439,8 (+326,3)</t>
  </si>
  <si>
    <t>1359,1 (+268,9)</t>
  </si>
  <si>
    <t>1314,1 (+189,8)</t>
  </si>
  <si>
    <t>1409,3 (+276,5)</t>
  </si>
  <si>
    <t>1377,8 (+258,0)</t>
  </si>
  <si>
    <t>1331,2 (+204,7)</t>
  </si>
  <si>
    <t>1084,1 (+265,9)</t>
  </si>
  <si>
    <t>1376,8 (+379,6)</t>
  </si>
  <si>
    <t>1124,3 (+218,1)</t>
  </si>
  <si>
    <t>966,9 (+292,8)</t>
  </si>
  <si>
    <t>1 mars-30 sept</t>
  </si>
  <si>
    <t>1316.4 (n/d)</t>
  </si>
  <si>
    <t>887.7 (+268.9)</t>
  </si>
  <si>
    <t>1135.1 (+393.4)</t>
  </si>
  <si>
    <t>1146.8 (+469.4)</t>
  </si>
  <si>
    <t>1261.7 (+498.6)</t>
  </si>
  <si>
    <t>1309.5 (+363.3)</t>
  </si>
  <si>
    <t>1362.9 (+504.5)</t>
  </si>
  <si>
    <t>1126.2 (+277.4)</t>
  </si>
  <si>
    <t>1188.2 (+377.2)</t>
  </si>
  <si>
    <t>1249.4 (+360.5)</t>
  </si>
  <si>
    <t>1277.8 (+394.7)</t>
  </si>
  <si>
    <t>1220.2 (+318.8)</t>
  </si>
  <si>
    <t>1081.3 (+226.2)</t>
  </si>
  <si>
    <t>1331.8 (+284.1)</t>
  </si>
  <si>
    <t>1081.1 (+350.5)</t>
  </si>
  <si>
    <t>1378.0 (+325.3)</t>
  </si>
  <si>
    <t>1369.2 (+422.4)</t>
  </si>
  <si>
    <t>1086.3 (+212.9)</t>
  </si>
  <si>
    <t>1397.7 (+387.7)</t>
  </si>
  <si>
    <t>1529.9 (+418.0)</t>
  </si>
  <si>
    <t>1470.5 (+375.5)</t>
  </si>
  <si>
    <t>1491.5 (+375.9)</t>
  </si>
  <si>
    <t>1414.3 (+321.7)</t>
  </si>
  <si>
    <t>1370.9 (+243.0)</t>
  </si>
  <si>
    <t>1474.4 (+338.1)</t>
  </si>
  <si>
    <t>1440.3 (+316.9)</t>
  </si>
  <si>
    <t>1394.6 (+264.6)</t>
  </si>
  <si>
    <t>1121.7 (+303.5)</t>
  </si>
  <si>
    <t>1431.0 (+433.3)</t>
  </si>
  <si>
    <t>1161.7 (+255.5)</t>
  </si>
  <si>
    <t>985.8 (+311.7)</t>
  </si>
  <si>
    <t>1 mars-31 oct.</t>
  </si>
  <si>
    <t>887.9 (+269.1)</t>
  </si>
  <si>
    <t>1367.7 (+509.3)</t>
  </si>
  <si>
    <t>1250.2 (+361.2)</t>
  </si>
  <si>
    <t>1282.1 (+398.9)</t>
  </si>
  <si>
    <t>1221.7 (+320.3)</t>
  </si>
  <si>
    <t>1372.1 (+425.3)</t>
  </si>
  <si>
    <t>1087.8 (+214.4)</t>
  </si>
  <si>
    <t>1405.0 (+395.0)</t>
  </si>
  <si>
    <t>1445.6 (+322.2)</t>
  </si>
  <si>
    <t>1431.8 (+434.1)</t>
  </si>
  <si>
    <t>1 mars-30 nov</t>
  </si>
  <si>
    <t xml:space="preserve"> </t>
  </si>
  <si>
    <t>1 mars-31 mars</t>
  </si>
  <si>
    <t>1 mars-30 avril</t>
  </si>
  <si>
    <t>Mauricie</t>
  </si>
  <si>
    <t>Champlain</t>
  </si>
  <si>
    <t>Charette</t>
  </si>
  <si>
    <t>Grande-Anse</t>
  </si>
  <si>
    <t>Herouxville</t>
  </si>
  <si>
    <t>La Tuque</t>
  </si>
  <si>
    <t>Lac-aux-Sables</t>
  </si>
  <si>
    <t>Louiseville</t>
  </si>
  <si>
    <t>Rivière aux Eaux Mortes</t>
  </si>
  <si>
    <t>Saint-Alexis-des-Monts</t>
  </si>
  <si>
    <t>Saint-Maurice</t>
  </si>
  <si>
    <t>Saint-Thomas-de-Caxton</t>
  </si>
  <si>
    <t>Sainte-Anne-de-la-Pérade</t>
  </si>
  <si>
    <t>Shawinigan</t>
  </si>
  <si>
    <t>Trois-Rivières</t>
  </si>
  <si>
    <t>388,9 (+0,3)</t>
  </si>
  <si>
    <t>540,3 (+78,1)</t>
  </si>
  <si>
    <t>576,0 (+148,0)</t>
  </si>
  <si>
    <t>604,5 (+128,6)</t>
  </si>
  <si>
    <t>672,0 (+74,9)</t>
  </si>
  <si>
    <t>742,8 (+199,4)</t>
  </si>
  <si>
    <t>586,0 (+50,6)</t>
  </si>
  <si>
    <t>632,1 (+121,2)</t>
  </si>
  <si>
    <t>722,5 (+166,3)</t>
  </si>
  <si>
    <t>731,1 (+178,9)</t>
  </si>
  <si>
    <t>715,4 (+148,9)</t>
  </si>
  <si>
    <t>592,9 (+47,2)</t>
  </si>
  <si>
    <t>729,2 (+70,3)</t>
  </si>
  <si>
    <t>596,8 (+126,9)</t>
  </si>
  <si>
    <t>701,8 (n/d)</t>
  </si>
  <si>
    <t>723,1 (+66,0)</t>
  </si>
  <si>
    <t>678,0 (+97,1)</t>
  </si>
  <si>
    <t>719,5 (+157,4)</t>
  </si>
  <si>
    <t>554,7 (+84,4)</t>
  </si>
  <si>
    <t>534,2 (+19,6)</t>
  </si>
  <si>
    <t>557,8 (+108,9)</t>
  </si>
  <si>
    <t>594,8 (+99,4)</t>
  </si>
  <si>
    <t>698,7 (+89,7)</t>
  </si>
  <si>
    <t>490,5 (+48,1)</t>
  </si>
  <si>
    <t>601,6 (+79,4)</t>
  </si>
  <si>
    <t>530,4 (+87,2)</t>
  </si>
  <si>
    <t>636,6 (+32,2)</t>
  </si>
  <si>
    <t>635,9 (+70,3)</t>
  </si>
  <si>
    <t>634,4 (+70,2)</t>
  </si>
  <si>
    <t>681,0 (+77,7)</t>
  </si>
  <si>
    <t>764,6 (+171,0)</t>
  </si>
  <si>
    <t>621,7 (+73,8)</t>
  </si>
  <si>
    <t>778,6 (+151,8)</t>
  </si>
  <si>
    <t>832,6 (+142,9)</t>
  </si>
  <si>
    <t>806,5 (+122,2)</t>
  </si>
  <si>
    <t>808,4 (+112,7)</t>
  </si>
  <si>
    <t>767,4 (+90,9)</t>
  </si>
  <si>
    <t>754,9 (+58,8)</t>
  </si>
  <si>
    <t>789,9 (+87,4)</t>
  </si>
  <si>
    <t>790,2 (+97,6)</t>
  </si>
  <si>
    <t>749,6 (+51,9)</t>
  </si>
  <si>
    <t>598,7 (+76,7)</t>
  </si>
  <si>
    <t>743,4 (+116,8)</t>
  </si>
  <si>
    <t>662,0 (+88,4)</t>
  </si>
  <si>
    <t>485,8 (+53,8)</t>
  </si>
  <si>
    <t>604,9 (+28,2)</t>
  </si>
  <si>
    <t>805,2 (+125,6)</t>
  </si>
  <si>
    <t>844,5 (+216,9)</t>
  </si>
  <si>
    <t>871,7 (+173,5)</t>
  </si>
  <si>
    <t>970,9 (+117,9)</t>
  </si>
  <si>
    <t>1014,2 (+234,2)</t>
  </si>
  <si>
    <t>841,2 (+68,4)</t>
  </si>
  <si>
    <t>886,9 (+145,9)</t>
  </si>
  <si>
    <t>988,6 (+189,4)</t>
  </si>
  <si>
    <t>999,6 (+205,9)</t>
  </si>
  <si>
    <t>995,8 (+183,5)</t>
  </si>
  <si>
    <t>844,1 (+61,9)</t>
  </si>
  <si>
    <t>1012,9 (+76,5)</t>
  </si>
  <si>
    <t>843,3 (+168,0)</t>
  </si>
  <si>
    <t>977,7 (n/d)</t>
  </si>
  <si>
    <t>1005,9 (+70,8)</t>
  </si>
  <si>
    <t>954,0 (+120,8)</t>
  </si>
  <si>
    <t>1007,0 (+200,9)</t>
  </si>
  <si>
    <t>807,2 (+125,2)</t>
  </si>
  <si>
    <t>765,8 (+24,3)</t>
  </si>
  <si>
    <t>800,3 (+149,5)</t>
  </si>
  <si>
    <t>844,7 (+129,1)</t>
  </si>
  <si>
    <t>970,6 (+100,6)</t>
  </si>
  <si>
    <t>704,4 (+62,5)</t>
  </si>
  <si>
    <t>852,9 (+102,2)</t>
  </si>
  <si>
    <t>750,6 (+107,6)</t>
  </si>
  <si>
    <t>895,9 (+32,2)</t>
  </si>
  <si>
    <t>902,1 (+89,0)</t>
  </si>
  <si>
    <t>903,4 (+94,1)</t>
  </si>
  <si>
    <t>977,2 (+114,7)</t>
  </si>
  <si>
    <t>1053,2 (+206,0)</t>
  </si>
  <si>
    <t>849,5 (+63,2)</t>
  </si>
  <si>
    <t>1057,0 (+163,2)</t>
  </si>
  <si>
    <t>1133,1 (+155,0)</t>
  </si>
  <si>
    <t>1098,8 (+130,6)</t>
  </si>
  <si>
    <t>1122,0 (+135,1)</t>
  </si>
  <si>
    <t>1054,0 (+91,3)</t>
  </si>
  <si>
    <t>1042,8 (+54,7)</t>
  </si>
  <si>
    <t>1076,2 (+79,0)</t>
  </si>
  <si>
    <t>1080,8 (+97,0)</t>
  </si>
  <si>
    <t>1037,6 (+46,8)</t>
  </si>
  <si>
    <t>852,3 (+103,6)</t>
  </si>
  <si>
    <t>1023,9 (+130,3)</t>
  </si>
  <si>
    <t>931,4 (+111,3)</t>
  </si>
  <si>
    <t>712,3 (+83,8)</t>
  </si>
  <si>
    <t>MOYENNE Bas St</t>
  </si>
  <si>
    <t>MOYENNE Cap. Nat</t>
  </si>
  <si>
    <t>MOYENNE centre</t>
  </si>
  <si>
    <t>MOYENNE chaud.</t>
  </si>
  <si>
    <t>MOYENNE Estrie</t>
  </si>
  <si>
    <t>MOYENNE Lanaud.</t>
  </si>
  <si>
    <t>MOYENNE Laur.</t>
  </si>
  <si>
    <t>MOYENNE Mauricie</t>
  </si>
  <si>
    <t>MOYENNE ME</t>
  </si>
  <si>
    <t>MOYENNE MO</t>
  </si>
  <si>
    <t>MOYENNE outaouais</t>
  </si>
  <si>
    <t>MOYENNE lac</t>
  </si>
  <si>
    <t>942,9 (+201,3)</t>
  </si>
  <si>
    <t>995,6 (+318,2)</t>
  </si>
  <si>
    <t>1035,8 (+272,6)</t>
  </si>
  <si>
    <t>1152,9 (+206,8)</t>
  </si>
  <si>
    <t>1225,1 (+366,6)</t>
  </si>
  <si>
    <t>980,8 (+132,1)</t>
  </si>
  <si>
    <t>1046,1 (+235,0)</t>
  </si>
  <si>
    <t>1169,7 (+280,7)</t>
  </si>
  <si>
    <t>1188,3 (+305,1)</t>
  </si>
  <si>
    <t>1187,3 (+285,9)</t>
  </si>
  <si>
    <t>985,7 (+130,6)</t>
  </si>
  <si>
    <t>1205,0 (+157,3)</t>
  </si>
  <si>
    <t>979,5 (+248,8)</t>
  </si>
  <si>
    <t>1159,8 (n/d)</t>
  </si>
  <si>
    <t>1218,9 (+166,2)</t>
  </si>
  <si>
    <t>1133,7 (+212,9)</t>
  </si>
  <si>
    <t>1190,7 (+305,4)</t>
  </si>
  <si>
    <t>938,3 (+202,6)</t>
  </si>
  <si>
    <t>865,4 (+58,8)</t>
  </si>
  <si>
    <t>929,5 (+232,7)</t>
  </si>
  <si>
    <t>975,6 (+200,8)</t>
  </si>
  <si>
    <t>1153,0 (+188,3)</t>
  </si>
  <si>
    <t>798,3 (+111,4)</t>
  </si>
  <si>
    <t>991,3 (+173,9)</t>
  </si>
  <si>
    <t>1046,7 (+89,8)</t>
  </si>
  <si>
    <t>1047,0 (+151,5)</t>
  </si>
  <si>
    <t>1053,3 (+164,3)</t>
  </si>
  <si>
    <t>1191,2 (+234,9)</t>
  </si>
  <si>
    <t>1266,8 (+320,1)</t>
  </si>
  <si>
    <t>995,4 (+121,9)</t>
  </si>
  <si>
    <t>1268,6 (+258,6)</t>
  </si>
  <si>
    <t>1377,1 (+265,3)</t>
  </si>
  <si>
    <t>1320,1 (+225,1)</t>
  </si>
  <si>
    <t>1348,9 (+233,2)</t>
  </si>
  <si>
    <t>1256,6 (+164,0)</t>
  </si>
  <si>
    <t>1252,1 (+124,2)</t>
  </si>
  <si>
    <t>1299,9 (+163,7)</t>
  </si>
  <si>
    <t>1308,9 (+185,5)</t>
  </si>
  <si>
    <t>1239,9 (+109,8)</t>
  </si>
  <si>
    <t>995,4 (+177,2)</t>
  </si>
  <si>
    <t>1216,0 (+218,2)</t>
  </si>
  <si>
    <t>1103,2 (+197,0)</t>
  </si>
  <si>
    <t>839,5 (+165,4)</t>
  </si>
  <si>
    <t>1,0 (+1,0)</t>
  </si>
  <si>
    <t>7,1 (+7,1)</t>
  </si>
  <si>
    <t>8,6 (+8,6)</t>
  </si>
  <si>
    <t>10,5 (+10,5)</t>
  </si>
  <si>
    <t>1,0 (+0,5)</t>
  </si>
  <si>
    <t>1,4 (n/d)</t>
  </si>
  <si>
    <t>3,9 (+3,1)</t>
  </si>
  <si>
    <t>0,6 (+0,6)</t>
  </si>
  <si>
    <t>1,3 (+1,3)</t>
  </si>
  <si>
    <t>1,4 (+1,4)</t>
  </si>
  <si>
    <t>17,4 (+17,0)</t>
  </si>
  <si>
    <t>9,3 (+7,8)</t>
  </si>
  <si>
    <t>8,5 (+7,1)</t>
  </si>
  <si>
    <t>4,8 (+3,5)</t>
  </si>
  <si>
    <t>4,0 (+2,6)</t>
  </si>
  <si>
    <t>11,2 (+9,3)</t>
  </si>
  <si>
    <t>8,8 (+7,0)</t>
  </si>
  <si>
    <t>6,8 (+5,1)</t>
  </si>
  <si>
    <t>9,4 (+7,4)</t>
  </si>
  <si>
    <t>32,8  (+21,8)</t>
  </si>
  <si>
    <t>65,3  (+38,7)</t>
  </si>
  <si>
    <t>66,8  (+26,5)</t>
  </si>
  <si>
    <t>112,5  (+34,1)</t>
  </si>
  <si>
    <t>118,5  (+50,6)</t>
  </si>
  <si>
    <t>89,8  (+34,3)</t>
  </si>
  <si>
    <t>91,8  (+43,4)</t>
  </si>
  <si>
    <t>113,1 (+43,7)</t>
  </si>
  <si>
    <t>112,4 (+47,4)</t>
  </si>
  <si>
    <t>117,9  (+45,6)</t>
  </si>
  <si>
    <t>90,6  (+33,0)</t>
  </si>
  <si>
    <t>124,4  (+28,6)</t>
  </si>
  <si>
    <t>101  (+56,3)</t>
  </si>
  <si>
    <t>119,3  (+24,4)</t>
  </si>
  <si>
    <t>120,7  (+18,7)</t>
  </si>
  <si>
    <t>127  (+60,4)</t>
  </si>
  <si>
    <t>117,2  (+39,1)</t>
  </si>
  <si>
    <t>93,4  (+42,1)</t>
  </si>
  <si>
    <t>87,2  (+13,5)</t>
  </si>
  <si>
    <t>139,9  (+54,1)</t>
  </si>
  <si>
    <t>147,3  (+38,8)</t>
  </si>
  <si>
    <t>142,6  (+33,6)</t>
  </si>
  <si>
    <t>144,5  (+36,7)</t>
  </si>
  <si>
    <t>129,7  (+26,4)</t>
  </si>
  <si>
    <t>137,6  (+31,4)</t>
  </si>
  <si>
    <t>139,8  (+27,6)</t>
  </si>
  <si>
    <t>135,1  (+27,0)</t>
  </si>
  <si>
    <t>134,8  (+26,6)</t>
  </si>
  <si>
    <t>105,4  (+47,4)</t>
  </si>
  <si>
    <t>145  (+50,0)</t>
  </si>
  <si>
    <t>110,6  (+34,5)</t>
  </si>
  <si>
    <t>71,5  (+43,9)</t>
  </si>
  <si>
    <t>109,3  (+38,5)</t>
  </si>
  <si>
    <t>81,9  (+47,8)</t>
  </si>
  <si>
    <t>78  (+24,4)</t>
  </si>
  <si>
    <t>91,5  (+50,5)</t>
  </si>
  <si>
    <t>88,6  (+46,9)</t>
  </si>
  <si>
    <t>63,8  (+29,0)</t>
  </si>
  <si>
    <t>79,8  (+45,4)</t>
  </si>
  <si>
    <t>100,7  (+24,9)</t>
  </si>
  <si>
    <t>101,7  (+35,8)</t>
  </si>
  <si>
    <t>102,7  (+39,7)</t>
  </si>
  <si>
    <t>103,2  (+25,8)</t>
  </si>
  <si>
    <t>223,5 (+73,7)</t>
  </si>
  <si>
    <t>294,3 (+107,0)</t>
  </si>
  <si>
    <t>304,5 (+81,7)</t>
  </si>
  <si>
    <t>310,3 (+72,3)</t>
  </si>
  <si>
    <t>372,9 (+75,7)</t>
  </si>
  <si>
    <t>379,4 (+108,7)</t>
  </si>
  <si>
    <t>316,5 (+68,0)</t>
  </si>
  <si>
    <t>341,2 (+107,6)</t>
  </si>
  <si>
    <t>346,4 (+74,6)</t>
  </si>
  <si>
    <t>351,2 (+91,5)</t>
  </si>
  <si>
    <t>362,9 (+83,8)</t>
  </si>
  <si>
    <t>317,1 (+67,4)</t>
  </si>
  <si>
    <t>391,7 (+58,0)</t>
  </si>
  <si>
    <t>323 (+109,9)</t>
  </si>
  <si>
    <t>371,3 (+44,3)</t>
  </si>
  <si>
    <t>386 (+44,2)</t>
  </si>
  <si>
    <t>365 (+82,7)</t>
  </si>
  <si>
    <t>396,9 (+124,9)</t>
  </si>
  <si>
    <t>296,1 (+102,5)</t>
  </si>
  <si>
    <t>277 (+35,0)</t>
  </si>
  <si>
    <t>335,7 (+116,8)</t>
  </si>
  <si>
    <t>313,7 (+99,8)</t>
  </si>
  <si>
    <t>383,5 (+84,2)</t>
  </si>
  <si>
    <t>252,1 (+55,8)</t>
  </si>
  <si>
    <t>323,3 (+87,9)</t>
  </si>
  <si>
    <t>279,3 (+85,6)</t>
  </si>
  <si>
    <t>342,2 (+48,8)</t>
  </si>
  <si>
    <t>355,3 (+82,9)</t>
  </si>
  <si>
    <t>349,6 (+81,7)</t>
  </si>
  <si>
    <t>375,5 (+78,8)</t>
  </si>
  <si>
    <t>285,9 (+6,4)</t>
  </si>
  <si>
    <t>389 (+83,3)</t>
  </si>
  <si>
    <t>438,9 (+83,4)</t>
  </si>
  <si>
    <t>415,7 (+59,1)</t>
  </si>
  <si>
    <t>430,2 (+73,9)</t>
  </si>
  <si>
    <t>372,4 (+70,1)</t>
  </si>
  <si>
    <t>409,3 (+64,7)</t>
  </si>
  <si>
    <t>396 (+44,7)</t>
  </si>
  <si>
    <t>419,1 (+55,7)</t>
  </si>
  <si>
    <t>402,8 (+47,9)</t>
  </si>
  <si>
    <t>397 (+41,3)</t>
  </si>
  <si>
    <t>334,8 (+89,9)</t>
  </si>
  <si>
    <t>420,5 (+93,3)</t>
  </si>
  <si>
    <t>354 (+68,4)</t>
  </si>
  <si>
    <t>296 (+107,0)</t>
  </si>
  <si>
    <t>juin 2014 et + (+ -) = écart à la moyenne '81-'10</t>
  </si>
  <si>
    <t>525,6 (+151)</t>
  </si>
  <si>
    <t>621,7 (+127,1)</t>
  </si>
  <si>
    <t>614,4 (+177,9)</t>
  </si>
  <si>
    <t>645,1 (+121,3)</t>
  </si>
  <si>
    <t>688,2 (+88,3)</t>
  </si>
  <si>
    <t>607 (+78,6)</t>
  </si>
  <si>
    <t>650,4 (+145,7)</t>
  </si>
  <si>
    <t>695,2 (+138,7)</t>
  </si>
  <si>
    <t>654,4 (+96,7)</t>
  </si>
  <si>
    <t>672,3 (+134,4)</t>
  </si>
  <si>
    <t>658,5 (+85,6)</t>
  </si>
  <si>
    <t>593,7 (+68,3)</t>
  </si>
  <si>
    <t>704,2 (+47,8)</t>
  </si>
  <si>
    <t>571,8 (+111,7)</t>
  </si>
  <si>
    <t>657,8 (+12,1)</t>
  </si>
  <si>
    <t>693,3 (+23,5)</t>
  </si>
  <si>
    <t>705,5 (+143,7)</t>
  </si>
  <si>
    <t>703,9 (+99,0)</t>
  </si>
  <si>
    <t>710,8 (+100,6)</t>
  </si>
  <si>
    <t>783,3 (+96,8)</t>
  </si>
  <si>
    <t>740 (+54,8)</t>
  </si>
  <si>
    <t>757,1 (+67,7)</t>
  </si>
  <si>
    <t>695,6 (+92,8)</t>
  </si>
  <si>
    <t>720,5 (+47,7)</t>
  </si>
  <si>
    <t>709,2 (+24,5)</t>
  </si>
  <si>
    <t>749,1 (+48,2)</t>
  </si>
  <si>
    <t>723,4 (+34,1)</t>
  </si>
  <si>
    <t>711,3 (+20,0)</t>
  </si>
  <si>
    <t>589,9 (+76,4)</t>
  </si>
  <si>
    <t>713,5 (+67,4)</t>
  </si>
  <si>
    <t>619,1 (+40,2)</t>
  </si>
  <si>
    <t>568,9 (+135,1)</t>
  </si>
  <si>
    <t>680,3 (+101,1)</t>
  </si>
  <si>
    <t>558,5 (+123,3)</t>
  </si>
  <si>
    <t>535,8 (+22,2)</t>
  </si>
  <si>
    <t>624,2 (+145,8)</t>
  </si>
  <si>
    <t>589,1 (+121,7)</t>
  </si>
  <si>
    <t>491,3 (+52,0)</t>
  </si>
  <si>
    <t>596,5 (+94,0)</t>
  </si>
  <si>
    <t>520,9 (+85,5)</t>
  </si>
  <si>
    <t>634,7 (+38,8)</t>
  </si>
  <si>
    <t>661,7 (+97,4)</t>
  </si>
  <si>
    <t>650,1 (+94,7)</t>
  </si>
  <si>
    <t>552,3 (-16,3)</t>
  </si>
  <si>
    <t>971,7 (+110,9)</t>
  </si>
  <si>
    <t>773,4 (+215,6)</t>
  </si>
  <si>
    <t>904,9 (+260,3)</t>
  </si>
  <si>
    <t>904,7 (+179,5)</t>
  </si>
  <si>
    <t>932,2 (+162,5)</t>
  </si>
  <si>
    <t>959,8 (+101,2)</t>
  </si>
  <si>
    <t>982 (+182,7)</t>
  </si>
  <si>
    <t>940,6 (+203,8)</t>
  </si>
  <si>
    <t>917,8 (+115,5)</t>
  </si>
  <si>
    <t>944,2 (+169,1)</t>
  </si>
  <si>
    <t>855,6 (+91,3)</t>
  </si>
  <si>
    <t>932,6 9+115,2)</t>
  </si>
  <si>
    <t>845,1 (+90,1)</t>
  </si>
  <si>
    <t>992,3 (+57,9)</t>
  </si>
  <si>
    <t>809,9 (+146,1)</t>
  </si>
  <si>
    <t>942,3 (+22,3)</t>
  </si>
  <si>
    <t>980,3 (+28,1)</t>
  </si>
  <si>
    <t>962,2 (+129,3)</t>
  </si>
  <si>
    <t>1002,4 (+194,9)</t>
  </si>
  <si>
    <t>811,8 (+178,3)</t>
  </si>
  <si>
    <t>764,9 (+23,6)</t>
  </si>
  <si>
    <t>902,3 (+207,0)</t>
  </si>
  <si>
    <t>851,7 (+173,8)</t>
  </si>
  <si>
    <t>991,2 (+124,7)</t>
  </si>
  <si>
    <t>707,7 (+68,0)</t>
  </si>
  <si>
    <t>852,9 (+128,7)</t>
  </si>
  <si>
    <t>746,7 (+113,6)</t>
  </si>
  <si>
    <t>901,6 (+47,2)</t>
  </si>
  <si>
    <t>942,4 (+129,1)</t>
  </si>
  <si>
    <t>926,4 (+127,4)</t>
  </si>
  <si>
    <t>1014,8 (+151,8)</t>
  </si>
  <si>
    <t>825,5 (+11,1)</t>
  </si>
  <si>
    <t>987,6 (+114,9)</t>
  </si>
  <si>
    <t>1093,3 (+118,3)</t>
  </si>
  <si>
    <t>1028,9 (+58,4)</t>
  </si>
  <si>
    <t>1061,2 (+81,7)</t>
  </si>
  <si>
    <t>1007,9 (+47,1)</t>
  </si>
  <si>
    <t>995,4 (+22,2)</t>
  </si>
  <si>
    <t>1042,1 (+46,3)</t>
  </si>
  <si>
    <t>1010,0 (+29,9)</t>
  </si>
  <si>
    <t>993,5 (+11,0)</t>
  </si>
  <si>
    <t>810,4 (+176,9)</t>
  </si>
  <si>
    <t>881,1 (+52,3)</t>
  </si>
  <si>
    <t>993 (+70,9)</t>
  </si>
  <si>
    <t>836,7 (+98,4)</t>
  </si>
  <si>
    <t>Moyennes régionales annuelles</t>
  </si>
  <si>
    <t>Régions</t>
  </si>
  <si>
    <t>885,2 (+286,5)</t>
  </si>
  <si>
    <t>1043,1(+341,5)</t>
  </si>
  <si>
    <t>1041,0 (+244,2)</t>
  </si>
  <si>
    <t>1076,0 (+221,1)</t>
  </si>
  <si>
    <t>1108,3 (+153,3)</t>
  </si>
  <si>
    <t>1149,0 (+264,3)</t>
  </si>
  <si>
    <t>985,2 (+144,6)</t>
  </si>
  <si>
    <t>1053,0 (+244,6)</t>
  </si>
  <si>
    <t>1070,4 (+175,9)</t>
  </si>
  <si>
    <t>1115,5 (+253,8)</t>
  </si>
  <si>
    <t>1099,7 (+189,5)</t>
  </si>
  <si>
    <t>970,8 (+146,6)</t>
  </si>
  <si>
    <t>1146,9 (+99,5)</t>
  </si>
  <si>
    <t>937,0 (+217,8)</t>
  </si>
  <si>
    <t>1117,9 (+85,5)</t>
  </si>
  <si>
    <t>1151,1 (+75,1)</t>
  </si>
  <si>
    <t>1108,1 (+184,6)</t>
  </si>
  <si>
    <t>1145,4 (255,6)</t>
  </si>
  <si>
    <t>931,5 (+252,2)</t>
  </si>
  <si>
    <t>869,7 (+61,3)</t>
  </si>
  <si>
    <t>1018,1 (+266,3)</t>
  </si>
  <si>
    <t>1139,3 (+176,4)</t>
  </si>
  <si>
    <t>801,2 (+114,7)</t>
  </si>
  <si>
    <t>975,4 (+187,8)</t>
  </si>
  <si>
    <t>850,4 (+171,3)</t>
  </si>
  <si>
    <t>1030,2 (+82,0)</t>
  </si>
  <si>
    <t>1075,9 (+177,1)</t>
  </si>
  <si>
    <t>1061,5 (+182,1)</t>
  </si>
  <si>
    <t>1175,7 (+215,3)</t>
  </si>
  <si>
    <t>990,5 (+79,3)</t>
  </si>
  <si>
    <t>1159,9 (+174,8)</t>
  </si>
  <si>
    <t>1278,3 (+171,9)</t>
  </si>
  <si>
    <t>1201,6 (+104,2)</t>
  </si>
  <si>
    <t>1233,1 (+126,2)</t>
  </si>
  <si>
    <t>1142,1 (+176,5)</t>
  </si>
  <si>
    <t>1180,6 (+90,5)</t>
  </si>
  <si>
    <t>1171,9 (+64,3)</t>
  </si>
  <si>
    <t>1218,6 (+85,1)</t>
  </si>
  <si>
    <t>1,188,7 (+71,6)</t>
  </si>
  <si>
    <t>1163,7 (+45,8)</t>
  </si>
  <si>
    <t>975,8 (+167,8)</t>
  </si>
  <si>
    <t>1158,7 (+122,8)</t>
  </si>
  <si>
    <t>1033,0 (+113,5)</t>
  </si>
  <si>
    <t>917,4 (+236,2)</t>
  </si>
  <si>
    <t>970,5 (+238,7)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</si>
</sst>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27" x14ac:knownFonts="1">
    <font>
      <sz val="10"/>
      <name val="Arial"/>
    </font>
    <font>
      <sz val="10"/>
      <name val="Arial"/>
    </font>
    <font>
      <b/>
      <sz val="18"/>
      <name val="Trebuchet MS"/>
      <family val="2"/>
    </font>
    <font>
      <sz val="10"/>
      <name val="Arial"/>
      <family val="2"/>
    </font>
    <font>
      <b/>
      <sz val="13.5"/>
      <name val="Trebuchet MS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8"/>
      <name val="Trebuchet MS"/>
      <family val="2"/>
    </font>
    <font>
      <sz val="8"/>
      <name val="Arial"/>
      <family val="2"/>
    </font>
    <font>
      <b/>
      <i/>
      <sz val="10.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11"/>
      <name val="Arial"/>
      <family val="2"/>
    </font>
    <font>
      <sz val="11"/>
      <name val="Trebuchet MS"/>
      <family val="2"/>
    </font>
    <font>
      <sz val="11"/>
      <name val="Arial"/>
      <family val="2"/>
    </font>
    <font>
      <b/>
      <sz val="10"/>
      <name val="Trebuchet MS"/>
      <family val="2"/>
    </font>
    <font>
      <b/>
      <sz val="10"/>
      <name val="Arial"/>
      <family val="2"/>
    </font>
    <font>
      <sz val="10"/>
      <color indexed="8"/>
      <name val="Garamond"/>
      <family val="1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Trebuchet MS"/>
      <family val="2"/>
    </font>
    <font>
      <b/>
      <sz val="9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/>
    <xf numFmtId="0" fontId="9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169" fontId="6" fillId="2" borderId="2" xfId="0" applyNumberFormat="1" applyFont="1" applyFill="1" applyBorder="1" applyAlignment="1">
      <alignment horizontal="center" vertical="top"/>
    </xf>
    <xf numFmtId="169" fontId="6" fillId="2" borderId="1" xfId="0" applyNumberFormat="1" applyFont="1" applyFill="1" applyBorder="1" applyAlignment="1">
      <alignment horizontal="center" vertical="top"/>
    </xf>
    <xf numFmtId="169" fontId="6" fillId="2" borderId="0" xfId="0" applyNumberFormat="1" applyFont="1" applyFill="1" applyBorder="1" applyAlignment="1">
      <alignment horizontal="center" vertical="top"/>
    </xf>
    <xf numFmtId="169" fontId="6" fillId="2" borderId="9" xfId="0" applyNumberFormat="1" applyFont="1" applyFill="1" applyBorder="1" applyAlignment="1">
      <alignment horizontal="center" vertical="top"/>
    </xf>
    <xf numFmtId="169" fontId="6" fillId="2" borderId="10" xfId="0" applyNumberFormat="1" applyFont="1" applyFill="1" applyBorder="1" applyAlignment="1">
      <alignment horizontal="center" vertical="top"/>
    </xf>
    <xf numFmtId="169" fontId="6" fillId="2" borderId="11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9" fillId="0" borderId="6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9" fontId="0" fillId="2" borderId="1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/>
    </xf>
    <xf numFmtId="0" fontId="10" fillId="0" borderId="1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left" vertical="top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169" fontId="6" fillId="0" borderId="0" xfId="0" applyNumberFormat="1" applyFont="1" applyFill="1" applyBorder="1" applyAlignment="1">
      <alignment horizontal="center" vertical="top"/>
    </xf>
    <xf numFmtId="169" fontId="6" fillId="0" borderId="1" xfId="0" applyNumberFormat="1" applyFont="1" applyFill="1" applyBorder="1" applyAlignment="1">
      <alignment horizontal="center" vertical="top"/>
    </xf>
    <xf numFmtId="169" fontId="6" fillId="0" borderId="2" xfId="0" applyNumberFormat="1" applyFont="1" applyFill="1" applyBorder="1" applyAlignment="1">
      <alignment horizontal="center" vertical="top"/>
    </xf>
    <xf numFmtId="169" fontId="0" fillId="0" borderId="0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top"/>
    </xf>
    <xf numFmtId="169" fontId="6" fillId="0" borderId="10" xfId="0" applyNumberFormat="1" applyFont="1" applyFill="1" applyBorder="1" applyAlignment="1">
      <alignment horizontal="center" vertical="top"/>
    </xf>
    <xf numFmtId="169" fontId="6" fillId="0" borderId="9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169" fontId="6" fillId="0" borderId="4" xfId="0" applyNumberFormat="1" applyFont="1" applyFill="1" applyBorder="1" applyAlignment="1">
      <alignment horizontal="center" vertical="top"/>
    </xf>
    <xf numFmtId="169" fontId="0" fillId="0" borderId="4" xfId="0" applyNumberFormat="1" applyFill="1" applyBorder="1" applyAlignment="1">
      <alignment horizontal="center" vertical="center"/>
    </xf>
    <xf numFmtId="169" fontId="6" fillId="0" borderId="7" xfId="0" applyNumberFormat="1" applyFont="1" applyFill="1" applyBorder="1" applyAlignment="1">
      <alignment horizontal="center" vertical="top"/>
    </xf>
    <xf numFmtId="169" fontId="6" fillId="0" borderId="8" xfId="0" applyNumberFormat="1" applyFont="1" applyFill="1" applyBorder="1" applyAlignment="1">
      <alignment horizontal="center" vertical="top"/>
    </xf>
    <xf numFmtId="169" fontId="13" fillId="0" borderId="9" xfId="0" applyNumberFormat="1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top"/>
    </xf>
    <xf numFmtId="169" fontId="16" fillId="0" borderId="9" xfId="0" applyNumberFormat="1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13" fillId="0" borderId="9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left" vertical="top"/>
    </xf>
    <xf numFmtId="169" fontId="13" fillId="0" borderId="10" xfId="0" applyNumberFormat="1" applyFont="1" applyFill="1" applyBorder="1" applyAlignment="1">
      <alignment horizontal="left" vertical="top"/>
    </xf>
    <xf numFmtId="169" fontId="13" fillId="0" borderId="11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169" fontId="9" fillId="2" borderId="8" xfId="0" applyNumberFormat="1" applyFont="1" applyFill="1" applyBorder="1" applyAlignment="1">
      <alignment horizontal="left" vertical="top"/>
    </xf>
    <xf numFmtId="169" fontId="0" fillId="0" borderId="0" xfId="0" applyNumberFormat="1" applyFill="1"/>
    <xf numFmtId="0" fontId="17" fillId="0" borderId="9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169" fontId="14" fillId="0" borderId="12" xfId="0" applyNumberFormat="1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69" fontId="14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169" fontId="9" fillId="0" borderId="12" xfId="0" applyNumberFormat="1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/>
    </xf>
    <xf numFmtId="169" fontId="9" fillId="0" borderId="13" xfId="0" applyNumberFormat="1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169" fontId="3" fillId="0" borderId="0" xfId="0" applyNumberFormat="1" applyFont="1" applyFill="1" applyAlignment="1">
      <alignment horizontal="center"/>
    </xf>
    <xf numFmtId="169" fontId="5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 wrapText="1"/>
    </xf>
    <xf numFmtId="169" fontId="9" fillId="0" borderId="6" xfId="0" applyNumberFormat="1" applyFont="1" applyFill="1" applyBorder="1" applyAlignment="1">
      <alignment horizontal="center" vertical="top"/>
    </xf>
    <xf numFmtId="169" fontId="9" fillId="0" borderId="4" xfId="0" applyNumberFormat="1" applyFont="1" applyFill="1" applyBorder="1" applyAlignment="1">
      <alignment horizontal="center" vertical="top"/>
    </xf>
    <xf numFmtId="169" fontId="10" fillId="0" borderId="1" xfId="0" applyNumberFormat="1" applyFont="1" applyFill="1" applyBorder="1" applyAlignment="1">
      <alignment horizontal="center" vertical="top"/>
    </xf>
    <xf numFmtId="169" fontId="10" fillId="0" borderId="0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9" fontId="15" fillId="0" borderId="1" xfId="0" applyNumberFormat="1" applyFont="1" applyFill="1" applyBorder="1" applyAlignment="1">
      <alignment horizontal="center" vertical="top"/>
    </xf>
    <xf numFmtId="169" fontId="15" fillId="0" borderId="1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top"/>
    </xf>
    <xf numFmtId="169" fontId="15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169" fontId="15" fillId="0" borderId="0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169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17" fillId="0" borderId="12" xfId="0" applyFont="1" applyFill="1" applyBorder="1" applyAlignment="1">
      <alignment horizontal="left" vertical="top"/>
    </xf>
    <xf numFmtId="0" fontId="17" fillId="0" borderId="13" xfId="0" applyFont="1" applyBorder="1" applyAlignment="1">
      <alignment horizontal="left"/>
    </xf>
    <xf numFmtId="169" fontId="17" fillId="0" borderId="12" xfId="0" applyNumberFormat="1" applyFont="1" applyBorder="1" applyAlignment="1">
      <alignment horizontal="left"/>
    </xf>
    <xf numFmtId="0" fontId="18" fillId="0" borderId="14" xfId="0" applyFont="1" applyFill="1" applyBorder="1" applyAlignment="1">
      <alignment horizontal="left" vertical="top"/>
    </xf>
    <xf numFmtId="0" fontId="17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9" fontId="17" fillId="0" borderId="13" xfId="0" applyNumberFormat="1" applyFont="1" applyBorder="1" applyAlignment="1">
      <alignment horizontal="left"/>
    </xf>
    <xf numFmtId="169" fontId="19" fillId="0" borderId="13" xfId="0" applyNumberFormat="1" applyFont="1" applyBorder="1" applyAlignment="1">
      <alignment horizontal="left"/>
    </xf>
    <xf numFmtId="0" fontId="18" fillId="0" borderId="15" xfId="0" applyFont="1" applyFill="1" applyBorder="1" applyAlignment="1">
      <alignment horizontal="left" vertical="top"/>
    </xf>
    <xf numFmtId="169" fontId="17" fillId="0" borderId="12" xfId="0" applyNumberFormat="1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0" fillId="0" borderId="1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/>
    </xf>
    <xf numFmtId="0" fontId="21" fillId="0" borderId="0" xfId="0" applyFont="1" applyFill="1"/>
    <xf numFmtId="0" fontId="19" fillId="0" borderId="1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9" fontId="17" fillId="0" borderId="1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15" fillId="0" borderId="0" xfId="0" applyFont="1" applyBorder="1"/>
    <xf numFmtId="0" fontId="19" fillId="0" borderId="13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top"/>
    </xf>
    <xf numFmtId="0" fontId="10" fillId="0" borderId="11" xfId="0" applyFont="1" applyFill="1" applyBorder="1" applyAlignment="1">
      <alignment horizontal="right" vertical="top"/>
    </xf>
    <xf numFmtId="0" fontId="0" fillId="0" borderId="2" xfId="0" applyFill="1" applyBorder="1"/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0" fontId="0" fillId="0" borderId="7" xfId="0" applyFill="1" applyBorder="1"/>
    <xf numFmtId="0" fontId="6" fillId="0" borderId="10" xfId="0" applyFont="1" applyFill="1" applyBorder="1" applyAlignment="1">
      <alignment horizontal="center" vertical="top"/>
    </xf>
    <xf numFmtId="169" fontId="9" fillId="2" borderId="11" xfId="0" applyNumberFormat="1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169" fontId="6" fillId="0" borderId="0" xfId="0" applyNumberFormat="1" applyFont="1" applyFill="1" applyAlignment="1">
      <alignment horizontal="left" vertical="center"/>
    </xf>
    <xf numFmtId="169" fontId="6" fillId="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69" fontId="8" fillId="2" borderId="0" xfId="0" applyNumberFormat="1" applyFont="1" applyFill="1" applyBorder="1" applyAlignment="1">
      <alignment horizontal="center"/>
    </xf>
    <xf numFmtId="169" fontId="8" fillId="2" borderId="10" xfId="0" applyNumberFormat="1" applyFont="1" applyFill="1" applyBorder="1" applyAlignment="1">
      <alignment horizontal="center"/>
    </xf>
    <xf numFmtId="169" fontId="8" fillId="0" borderId="0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9" fontId="8" fillId="2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9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  <xf numFmtId="169" fontId="8" fillId="2" borderId="1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/>
    </xf>
    <xf numFmtId="0" fontId="21" fillId="0" borderId="6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9" fillId="0" borderId="6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/>
    </xf>
    <xf numFmtId="169" fontId="17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9" fontId="3" fillId="0" borderId="1" xfId="0" applyNumberFormat="1" applyFont="1" applyBorder="1" applyAlignment="1">
      <alignment horizontal="left" vertical="center"/>
    </xf>
    <xf numFmtId="169" fontId="3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5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8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4.xml"/><Relationship Id="rId25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3.xml"/><Relationship Id="rId20" Type="http://schemas.openxmlformats.org/officeDocument/2006/relationships/worksheet" Target="worksheets/sheet7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2.xml"/><Relationship Id="rId23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worksheet" Target="worksheets/sheet6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Moyennes régionales d'accumulation de degrés-jour en base 10
1 mars au 30 novembre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Feuil1!$B$3:$B$14</c:f>
              <c:numCache>
                <c:formatCode>0.0</c:formatCode>
                <c:ptCount val="12"/>
                <c:pt idx="0">
                  <c:v>863.1</c:v>
                </c:pt>
                <c:pt idx="1">
                  <c:v>1151.5333333333335</c:v>
                </c:pt>
                <c:pt idx="2">
                  <c:v>1251.5500000000002</c:v>
                </c:pt>
                <c:pt idx="3">
                  <c:v>1127</c:v>
                </c:pt>
                <c:pt idx="4">
                  <c:v>1186.7333333333333</c:v>
                </c:pt>
                <c:pt idx="5">
                  <c:v>1190.2</c:v>
                </c:pt>
                <c:pt idx="6">
                  <c:v>1198.8999999999999</c:v>
                </c:pt>
                <c:pt idx="7">
                  <c:v>1106.5714285714287</c:v>
                </c:pt>
                <c:pt idx="8">
                  <c:v>1303.3500000000001</c:v>
                </c:pt>
                <c:pt idx="9">
                  <c:v>1350.7</c:v>
                </c:pt>
                <c:pt idx="10">
                  <c:v>1166.2666666666667</c:v>
                </c:pt>
                <c:pt idx="11">
                  <c:v>941</c:v>
                </c:pt>
              </c:numCache>
            </c:numRef>
          </c:val>
        </c:ser>
        <c:ser>
          <c:idx val="1"/>
          <c:order val="1"/>
          <c:tx>
            <c:strRef>
              <c:f>Feuil1!$C$2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Feuil1!$C$3:$C$14</c:f>
              <c:numCache>
                <c:formatCode>0.0</c:formatCode>
                <c:ptCount val="12"/>
                <c:pt idx="0">
                  <c:v>767.3</c:v>
                </c:pt>
                <c:pt idx="1">
                  <c:v>1075.8333333333333</c:v>
                </c:pt>
                <c:pt idx="2">
                  <c:v>1267.75</c:v>
                </c:pt>
                <c:pt idx="3">
                  <c:v>1076</c:v>
                </c:pt>
                <c:pt idx="4">
                  <c:v>1193.7666666666667</c:v>
                </c:pt>
                <c:pt idx="5">
                  <c:v>1178.25</c:v>
                </c:pt>
                <c:pt idx="6">
                  <c:v>1247.6666666666667</c:v>
                </c:pt>
                <c:pt idx="7">
                  <c:v>1087.3666666666668</c:v>
                </c:pt>
                <c:pt idx="8">
                  <c:v>1335.6499999999999</c:v>
                </c:pt>
                <c:pt idx="9">
                  <c:v>1388.22</c:v>
                </c:pt>
                <c:pt idx="10">
                  <c:v>1227.4000000000001</c:v>
                </c:pt>
                <c:pt idx="11">
                  <c:v>907.7</c:v>
                </c:pt>
              </c:numCache>
            </c:numRef>
          </c:val>
        </c:ser>
        <c:ser>
          <c:idx val="2"/>
          <c:order val="2"/>
          <c:tx>
            <c:strRef>
              <c:f>Feuil1!$D$2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Feuil1!$D$3:$D$14</c:f>
              <c:numCache>
                <c:formatCode>0.0</c:formatCode>
                <c:ptCount val="12"/>
                <c:pt idx="0">
                  <c:v>887.9</c:v>
                </c:pt>
                <c:pt idx="1">
                  <c:v>1181.1999999999998</c:v>
                </c:pt>
                <c:pt idx="2">
                  <c:v>1338.6</c:v>
                </c:pt>
                <c:pt idx="3">
                  <c:v>1157.2</c:v>
                </c:pt>
                <c:pt idx="4">
                  <c:v>1251.3333333333333</c:v>
                </c:pt>
                <c:pt idx="5">
                  <c:v>1206.55</c:v>
                </c:pt>
                <c:pt idx="6">
                  <c:v>1206.55</c:v>
                </c:pt>
                <c:pt idx="7">
                  <c:v>1135.5285714285715</c:v>
                </c:pt>
                <c:pt idx="8">
                  <c:v>1392.8</c:v>
                </c:pt>
                <c:pt idx="9">
                  <c:v>1419.9600000000003</c:v>
                </c:pt>
                <c:pt idx="10">
                  <c:v>1238.3999999999999</c:v>
                </c:pt>
                <c:pt idx="11">
                  <c:v>985.8</c:v>
                </c:pt>
              </c:numCache>
            </c:numRef>
          </c:val>
        </c:ser>
        <c:ser>
          <c:idx val="3"/>
          <c:order val="3"/>
          <c:tx>
            <c:strRef>
              <c:f>Feuil1!$E$2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Feuil1!$E$3:$E$14</c:f>
              <c:numCache>
                <c:formatCode>0.0</c:formatCode>
                <c:ptCount val="12"/>
                <c:pt idx="0">
                  <c:v>712.7</c:v>
                </c:pt>
                <c:pt idx="1">
                  <c:v>992.76666666666677</c:v>
                </c:pt>
                <c:pt idx="2">
                  <c:v>1189</c:v>
                </c:pt>
                <c:pt idx="3">
                  <c:v>1013.4499999999999</c:v>
                </c:pt>
                <c:pt idx="4">
                  <c:v>1181.7666666666667</c:v>
                </c:pt>
                <c:pt idx="5">
                  <c:v>1095.3499999999999</c:v>
                </c:pt>
                <c:pt idx="6">
                  <c:v>1119.4000000000001</c:v>
                </c:pt>
                <c:pt idx="7">
                  <c:v>1012.85</c:v>
                </c:pt>
                <c:pt idx="8">
                  <c:v>1262.8166666666666</c:v>
                </c:pt>
                <c:pt idx="9">
                  <c:v>1271.48</c:v>
                </c:pt>
                <c:pt idx="10">
                  <c:v>1104.8666666666668</c:v>
                </c:pt>
                <c:pt idx="11">
                  <c:v>839.5</c:v>
                </c:pt>
              </c:numCache>
            </c:numRef>
          </c:val>
        </c:ser>
        <c:ser>
          <c:idx val="4"/>
          <c:order val="4"/>
          <c:tx>
            <c:strRef>
              <c:f>Feuil1!$F$2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Feuil1!$F$3:$F$14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Feuil1!$G$2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Feuil1!$A$3:$A$14</c:f>
              <c:strCache>
                <c:ptCount val="12"/>
                <c:pt idx="0">
                  <c:v>Bas-St-Laurent</c:v>
                </c:pt>
                <c:pt idx="1">
                  <c:v>Capitale Nationale</c:v>
                </c:pt>
                <c:pt idx="2">
                  <c:v>Centre-du-Québec</c:v>
                </c:pt>
                <c:pt idx="3">
                  <c:v>Chaudière-Appalaches</c:v>
                </c:pt>
                <c:pt idx="4">
                  <c:v>Estrie</c:v>
                </c:pt>
                <c:pt idx="5">
                  <c:v>Lanaudière</c:v>
                </c:pt>
                <c:pt idx="6">
                  <c:v>Laurentide</c:v>
                </c:pt>
                <c:pt idx="7">
                  <c:v>Mauricie</c:v>
                </c:pt>
                <c:pt idx="8">
                  <c:v>Montérégie Est</c:v>
                </c:pt>
                <c:pt idx="9">
                  <c:v>Montérégie Ouest</c:v>
                </c:pt>
                <c:pt idx="10">
                  <c:v>Outaouais</c:v>
                </c:pt>
                <c:pt idx="11">
                  <c:v>Saguenay-Lac-St-Jean</c:v>
                </c:pt>
              </c:strCache>
            </c:strRef>
          </c:cat>
          <c:val>
            <c:numRef>
              <c:f>Feuil1!$G$3:$G$14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82240"/>
        <c:axId val="40683776"/>
      </c:barChart>
      <c:catAx>
        <c:axId val="40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683776"/>
        <c:crosses val="autoZero"/>
        <c:auto val="1"/>
        <c:lblAlgn val="ctr"/>
        <c:lblOffset val="100"/>
        <c:noMultiLvlLbl val="0"/>
      </c:catAx>
      <c:valAx>
        <c:axId val="4068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Degrés-jours accumulés (base 10)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40682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/>
        </c:spPr>
      </c:dTable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5303210525215"/>
          <c:y val="2.9749767179376219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(toutes!$B$62,toutes!$G$62,toutes!$L$62,toutes!$R$62,toutes!$W$62,toutes!$AB$62,toutes!$AH$62,toutes!$AM$62,toutes!$AR$62)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28.95</c:v>
                </c:pt>
                <c:pt idx="2">
                  <c:v>195.95000000000002</c:v>
                </c:pt>
                <c:pt idx="3">
                  <c:v>422.4666666666667</c:v>
                </c:pt>
                <c:pt idx="4">
                  <c:v>798.11666666666667</c:v>
                </c:pt>
                <c:pt idx="5">
                  <c:v>1101.45</c:v>
                </c:pt>
                <c:pt idx="6">
                  <c:v>1280.5</c:v>
                </c:pt>
                <c:pt idx="7">
                  <c:v>1303.25</c:v>
                </c:pt>
                <c:pt idx="8">
                  <c:v>1303.3500000000001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(toutes!$C$62,toutes!$H$62,toutes!$M$62,toutes!$S$62,toutes!$X$62,toutes!$AC$62,toutes!$AI$62,toutes!$AN$62,toutes!$AS$62)</c:f>
              <c:numCache>
                <c:formatCode>General</c:formatCode>
                <c:ptCount val="9"/>
                <c:pt idx="0">
                  <c:v>0</c:v>
                </c:pt>
                <c:pt idx="1">
                  <c:v>19.400000000000002</c:v>
                </c:pt>
                <c:pt idx="2" formatCode="0.0">
                  <c:v>151.35</c:v>
                </c:pt>
                <c:pt idx="3" formatCode="0.0">
                  <c:v>403.34999999999997</c:v>
                </c:pt>
                <c:pt idx="4" formatCode="0.0">
                  <c:v>764.81666666666661</c:v>
                </c:pt>
                <c:pt idx="5" formatCode="0.0">
                  <c:v>1073.0166666666667</c:v>
                </c:pt>
                <c:pt idx="6" formatCode="0.0">
                  <c:v>1051.5898333333332</c:v>
                </c:pt>
                <c:pt idx="7" formatCode="0.0">
                  <c:v>1329.1499999999999</c:v>
                </c:pt>
                <c:pt idx="8" formatCode="0.0">
                  <c:v>1335.6499999999999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(toutes!$D$62,toutes!$I$62,toutes!$N$62,toutes!$T$62,toutes!$Y$62,toutes!$AD$62,toutes!$AJ$62,toutes!$AO$62,toutes!$AT$62)</c:f>
              <c:numCache>
                <c:formatCode>General</c:formatCode>
                <c:ptCount val="9"/>
                <c:pt idx="0" formatCode="0.0">
                  <c:v>24.433333333333334</c:v>
                </c:pt>
                <c:pt idx="1">
                  <c:v>44.199999999999996</c:v>
                </c:pt>
                <c:pt idx="2" formatCode="0.0">
                  <c:v>214.51666666666665</c:v>
                </c:pt>
                <c:pt idx="3" formatCode="0.0">
                  <c:v>482.56666666666661</c:v>
                </c:pt>
                <c:pt idx="4" formatCode="0.0">
                  <c:v>824.2166666666667</c:v>
                </c:pt>
                <c:pt idx="5">
                  <c:v>1216.98</c:v>
                </c:pt>
                <c:pt idx="6" formatCode="0.0">
                  <c:v>1331.5833333333335</c:v>
                </c:pt>
                <c:pt idx="7">
                  <c:v>1390.8500000000001</c:v>
                </c:pt>
                <c:pt idx="8">
                  <c:v>1392.8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(toutes!$E$62,toutes!$J$62,toutes!$O$62,toutes!$U$62,toutes!$Z$62,toutes!$AE$62,toutes!$AK$62,toutes!$AP$62,toutes!$AU$62)</c:f>
              <c:numCache>
                <c:formatCode>0.0</c:formatCode>
                <c:ptCount val="9"/>
                <c:pt idx="0">
                  <c:v>0</c:v>
                </c:pt>
                <c:pt idx="1">
                  <c:v>24.483333333333331</c:v>
                </c:pt>
                <c:pt idx="2">
                  <c:v>187.1</c:v>
                </c:pt>
                <c:pt idx="3">
                  <c:v>412.06666666666666</c:v>
                </c:pt>
                <c:pt idx="4">
                  <c:v>768.73333333333323</c:v>
                </c:pt>
                <c:pt idx="5">
                  <c:v>1052.2666666666667</c:v>
                </c:pt>
                <c:pt idx="6">
                  <c:v>1194.9833333333333</c:v>
                </c:pt>
                <c:pt idx="7">
                  <c:v>1257.3333333333333</c:v>
                </c:pt>
                <c:pt idx="8">
                  <c:v>1262.8166666666666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(toutes!$F$62,toutes!$K$62,toutes!$P$62,toutes!$V$62,toutes!$AA$62,toutes!$AF$62,toutes!$AL$62,toutes!$AQ$62,toutes!$AV$62)</c:f>
              <c:numCache>
                <c:formatCode>0.0</c:formatCode>
                <c:ptCount val="9"/>
                <c:pt idx="0">
                  <c:v>0</c:v>
                </c:pt>
                <c:pt idx="1">
                  <c:v>9.6666666666666661</c:v>
                </c:pt>
                <c:pt idx="2">
                  <c:v>132.30000000000001</c:v>
                </c:pt>
                <c:pt idx="3">
                  <c:v>388.68333333333334</c:v>
                </c:pt>
                <c:pt idx="4">
                  <c:v>706.51666666666677</c:v>
                </c:pt>
                <c:pt idx="5">
                  <c:v>994.69999999999993</c:v>
                </c:pt>
                <c:pt idx="6">
                  <c:v>1167.5833333333333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56768"/>
        <c:axId val="175063040"/>
      </c:barChart>
      <c:catAx>
        <c:axId val="17505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06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63040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0567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95291755943716"/>
          <c:y val="0.95616883394461682"/>
          <c:w val="0.26605696684331032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8756947661362"/>
          <c:y val="1.4555967616868774E-2"/>
          <c:w val="0.87136465324384782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(toutes!$B$69,toutes!$G$69,toutes!$L$69,toutes!$R$69,toutes!$W$69,toutes!$AB$69,toutes!$AH$69,toutes!$AM$69,toutes!$AR$69)</c:f>
              <c:numCache>
                <c:formatCode>0.0</c:formatCode>
                <c:ptCount val="9"/>
                <c:pt idx="0">
                  <c:v>0.12</c:v>
                </c:pt>
                <c:pt idx="1">
                  <c:v>29.68</c:v>
                </c:pt>
                <c:pt idx="2" formatCode="General">
                  <c:v>211.1</c:v>
                </c:pt>
                <c:pt idx="3" formatCode="General">
                  <c:v>446.4</c:v>
                </c:pt>
                <c:pt idx="4" formatCode="General">
                  <c:v>832.75599999999997</c:v>
                </c:pt>
                <c:pt idx="5" formatCode="General">
                  <c:v>1141.6799999999998</c:v>
                </c:pt>
                <c:pt idx="6" formatCode="General">
                  <c:v>1323.0800000000002</c:v>
                </c:pt>
                <c:pt idx="7">
                  <c:v>1349.92</c:v>
                </c:pt>
                <c:pt idx="8" formatCode="General">
                  <c:v>1350.7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(toutes!$C$69,toutes!$H$69,toutes!$M$69,toutes!$S$69,toutes!$X$69,toutes!$AC$69,toutes!$AI$69,toutes!$AN$69,toutes!$AS$69)</c:f>
              <c:numCache>
                <c:formatCode>0.0</c:formatCode>
                <c:ptCount val="9"/>
                <c:pt idx="0">
                  <c:v>0</c:v>
                </c:pt>
                <c:pt idx="1">
                  <c:v>20.68</c:v>
                </c:pt>
                <c:pt idx="2" formatCode="General">
                  <c:v>152.83999999999997</c:v>
                </c:pt>
                <c:pt idx="3" formatCode="General">
                  <c:v>421.03999999999996</c:v>
                </c:pt>
                <c:pt idx="4" formatCode="General">
                  <c:v>804.1</c:v>
                </c:pt>
                <c:pt idx="5" formatCode="General">
                  <c:v>1119.9600000000003</c:v>
                </c:pt>
                <c:pt idx="6" formatCode="General">
                  <c:v>1329.7400000000002</c:v>
                </c:pt>
                <c:pt idx="7">
                  <c:v>1382.3799999999999</c:v>
                </c:pt>
                <c:pt idx="8">
                  <c:v>1388.22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(toutes!$D$69,toutes!$I$69,toutes!$N$69,toutes!$T$69,toutes!$Y$69,toutes!$AD$69,toutes!$AJ$69,toutes!$AO$69,toutes!$AT$69)</c:f>
              <c:numCache>
                <c:formatCode>0.0</c:formatCode>
                <c:ptCount val="9"/>
                <c:pt idx="0">
                  <c:v>27.04</c:v>
                </c:pt>
                <c:pt idx="1">
                  <c:v>47.819999999999993</c:v>
                </c:pt>
                <c:pt idx="2" formatCode="General">
                  <c:v>225.14000000000001</c:v>
                </c:pt>
                <c:pt idx="3" formatCode="General">
                  <c:v>499.96000000000004</c:v>
                </c:pt>
                <c:pt idx="4">
                  <c:v>847.9799999999999</c:v>
                </c:pt>
                <c:pt idx="5" formatCode="General">
                  <c:v>1193.48</c:v>
                </c:pt>
                <c:pt idx="6" formatCode="General">
                  <c:v>1363.7</c:v>
                </c:pt>
                <c:pt idx="7" formatCode="General">
                  <c:v>1418.9</c:v>
                </c:pt>
                <c:pt idx="8" formatCode="General">
                  <c:v>1419.9600000000003</c:v>
                </c:pt>
              </c:numCache>
            </c:numRef>
          </c:val>
        </c:ser>
        <c:ser>
          <c:idx val="3"/>
          <c:order val="3"/>
          <c:tx>
            <c:strRef>
              <c:f>toutes!$E$4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(toutes!$E$69,toutes!$J$69,toutes!$O$69,toutes!$U$69,toutes!$Z$69,toutes!$AE$69,toutes!$AK$69,toutes!$AP$69,toutes!$AU$69)</c:f>
              <c:numCache>
                <c:formatCode>0.0</c:formatCode>
                <c:ptCount val="9"/>
                <c:pt idx="0">
                  <c:v>0</c:v>
                </c:pt>
                <c:pt idx="1">
                  <c:v>20.74</c:v>
                </c:pt>
                <c:pt idx="2">
                  <c:v>185.14</c:v>
                </c:pt>
                <c:pt idx="3">
                  <c:v>415.66</c:v>
                </c:pt>
                <c:pt idx="4">
                  <c:v>770.39999999999986</c:v>
                </c:pt>
                <c:pt idx="5">
                  <c:v>1058.28</c:v>
                </c:pt>
                <c:pt idx="6">
                  <c:v>1201.2399999999998</c:v>
                </c:pt>
                <c:pt idx="7">
                  <c:v>1266.28</c:v>
                </c:pt>
                <c:pt idx="8">
                  <c:v>1271.48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(toutes!$F$69,toutes!$K$69,toutes!$P$69,toutes!$V$69,toutes!$AA$69,toutes!$AF$69,toutes!$AL$69,toutes!$AQ$69,toutes!$AV$69)</c:f>
              <c:numCache>
                <c:formatCode>0.0</c:formatCode>
                <c:ptCount val="9"/>
                <c:pt idx="0">
                  <c:v>0</c:v>
                </c:pt>
                <c:pt idx="1">
                  <c:v>8.0400000000000009</c:v>
                </c:pt>
                <c:pt idx="2">
                  <c:v>135.4</c:v>
                </c:pt>
                <c:pt idx="3">
                  <c:v>404.84000000000003</c:v>
                </c:pt>
                <c:pt idx="4">
                  <c:v>722.7</c:v>
                </c:pt>
                <c:pt idx="5">
                  <c:v>1009.78</c:v>
                </c:pt>
                <c:pt idx="6">
                  <c:v>1184.7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14112"/>
        <c:axId val="175128576"/>
      </c:barChart>
      <c:catAx>
        <c:axId val="1751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 baseline="0"/>
                  <a:t>Années</a:t>
                </a:r>
              </a:p>
            </c:rich>
          </c:tx>
          <c:layout>
            <c:manualLayout>
              <c:xMode val="edge"/>
              <c:yMode val="edge"/>
              <c:x val="0.50335575914152952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12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128576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1141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9664318276005"/>
          <c:y val="0.95616883394461682"/>
          <c:w val="0.26605696684331032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8756947661362"/>
          <c:y val="2.540868159008838E-2"/>
          <c:w val="0.87136465324384782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(toutes!$B$2,toutes!$G$2,toutes!$L$2,toutes!$R$2,toutes!$W$2,toutes!$AB$2,toutes!$AH$2,toutes!$AM$2,toutes!$AR$20)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1127</c:v>
                </c:pt>
              </c:strCache>
            </c:strRef>
          </c:cat>
          <c:val>
            <c:numRef>
              <c:f>(toutes!$B$74,toutes!$G$74,toutes!$L$74,toutes!$R$74,toutes!$W$74,toutes!$AB$74,toutes!$AH$74,toutes!$AM$74,toutes!$AR$74)</c:f>
              <c:numCache>
                <c:formatCode>0.0</c:formatCode>
                <c:ptCount val="9"/>
                <c:pt idx="0">
                  <c:v>0.16666666666666666</c:v>
                </c:pt>
                <c:pt idx="1">
                  <c:v>154.16666666666666</c:v>
                </c:pt>
                <c:pt idx="2">
                  <c:v>181.20000000000002</c:v>
                </c:pt>
                <c:pt idx="3">
                  <c:v>386.16666666666669</c:v>
                </c:pt>
                <c:pt idx="4" formatCode="General">
                  <c:v>733.19999999999993</c:v>
                </c:pt>
                <c:pt idx="5" formatCode="General">
                  <c:v>1011.2999999999998</c:v>
                </c:pt>
                <c:pt idx="6">
                  <c:v>1148.9333333333334</c:v>
                </c:pt>
                <c:pt idx="7">
                  <c:v>1166.2666666666667</c:v>
                </c:pt>
                <c:pt idx="8">
                  <c:v>1166.2666666666667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(toutes!$C$74,toutes!$H$74,toutes!$M$74,toutes!$S$74,toutes!$X$74,toutes!$AC$74,toutes!$AI$74,toutes!$AN$74,toutes!$AS$74)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16.8</c:v>
                </c:pt>
                <c:pt idx="2">
                  <c:v>132.86666666666667</c:v>
                </c:pt>
                <c:pt idx="3">
                  <c:v>373.40000000000003</c:v>
                </c:pt>
                <c:pt idx="4" formatCode="General">
                  <c:v>710.6</c:v>
                </c:pt>
                <c:pt idx="5" formatCode="General">
                  <c:v>994.5</c:v>
                </c:pt>
                <c:pt idx="6" formatCode="General">
                  <c:v>1184.8999999999999</c:v>
                </c:pt>
                <c:pt idx="7">
                  <c:v>1224.2666666666667</c:v>
                </c:pt>
                <c:pt idx="8" formatCode="General">
                  <c:v>1227.4000000000001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(toutes!$D$74,toutes!$I$74,toutes!$N$74,toutes!$T$74,toutes!$Y$74,toutes!$AD$74,toutes!$AJ$74,toutes!$AO$74,toutes!$AT$74)</c:f>
              <c:numCache>
                <c:formatCode>0.0</c:formatCode>
                <c:ptCount val="9"/>
                <c:pt idx="0">
                  <c:v>16.266666666666666</c:v>
                </c:pt>
                <c:pt idx="1">
                  <c:v>27.566666666666666</c:v>
                </c:pt>
                <c:pt idx="2">
                  <c:v>178.23333333333335</c:v>
                </c:pt>
                <c:pt idx="3">
                  <c:v>426.63333333333338</c:v>
                </c:pt>
                <c:pt idx="4">
                  <c:v>758.76666666666677</c:v>
                </c:pt>
                <c:pt idx="5" formatCode="0.00">
                  <c:v>1064.7666666666667</c:v>
                </c:pt>
                <c:pt idx="6">
                  <c:v>1195.0666666666666</c:v>
                </c:pt>
                <c:pt idx="7">
                  <c:v>1238.1333333333332</c:v>
                </c:pt>
                <c:pt idx="8">
                  <c:v>1238.3999999999999</c:v>
                </c:pt>
              </c:numCache>
            </c:numRef>
          </c:val>
        </c:ser>
        <c:ser>
          <c:idx val="3"/>
          <c:order val="3"/>
          <c:tx>
            <c:strRef>
              <c:f>toutes!$AE$4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(toutes!$E$74,toutes!$J$74,toutes!$O$74,toutes!$U$74,toutes!$Z$74,toutes!$AE$74,toutes!$AK$74,toutes!$AP$74,toutes!$AU$74)</c:f>
              <c:numCache>
                <c:formatCode>0.0</c:formatCode>
                <c:ptCount val="9"/>
                <c:pt idx="0">
                  <c:v>0</c:v>
                </c:pt>
                <c:pt idx="1">
                  <c:v>14.1</c:v>
                </c:pt>
                <c:pt idx="2">
                  <c:v>138.46666666666667</c:v>
                </c:pt>
                <c:pt idx="3">
                  <c:v>343.3</c:v>
                </c:pt>
                <c:pt idx="4">
                  <c:v>668.0333333333333</c:v>
                </c:pt>
                <c:pt idx="5">
                  <c:v>935.86666666666667</c:v>
                </c:pt>
                <c:pt idx="6">
                  <c:v>1046.0666666666666</c:v>
                </c:pt>
                <c:pt idx="7">
                  <c:v>1102.8666666666666</c:v>
                </c:pt>
                <c:pt idx="8">
                  <c:v>1104.8666666666668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(toutes!$F$74,toutes!$K$74,toutes!$P$74,toutes!$V$74,toutes!$AA$74,toutes!$AF$74,toutes!$AL$74,toutes!$AQ$74,toutes!$AV$74)</c:f>
              <c:numCache>
                <c:formatCode>0.0</c:formatCode>
                <c:ptCount val="9"/>
                <c:pt idx="0">
                  <c:v>0</c:v>
                </c:pt>
                <c:pt idx="1">
                  <c:v>3.6666666666666665</c:v>
                </c:pt>
                <c:pt idx="2">
                  <c:v>120.33333333333333</c:v>
                </c:pt>
                <c:pt idx="3">
                  <c:v>369.76666666666665</c:v>
                </c:pt>
                <c:pt idx="4">
                  <c:v>640.83333333333337</c:v>
                </c:pt>
                <c:pt idx="5">
                  <c:v>903.6</c:v>
                </c:pt>
                <c:pt idx="6">
                  <c:v>1055.8333333333333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43104"/>
        <c:axId val="175345024"/>
      </c:barChart>
      <c:catAx>
        <c:axId val="17534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50335575914152952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3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345024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3431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130845626379565"/>
          <c:y val="0.93229286892884311"/>
          <c:w val="0.29441282885551956"/>
          <c:h val="5.8989116588439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541387024609"/>
          <c:y val="3.4090909090909088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(toutes!$B$77,toutes!$G$77,toutes!$L$77,toutes!$R$77,toutes!$W$77,toutes!$AB$77,toutes!$AH$77,toutes!$AM$77,toutes!$AR$77)</c:f>
              <c:numCache>
                <c:formatCode>General</c:formatCode>
                <c:ptCount val="9"/>
                <c:pt idx="0">
                  <c:v>0</c:v>
                </c:pt>
                <c:pt idx="1">
                  <c:v>5.2</c:v>
                </c:pt>
                <c:pt idx="2">
                  <c:v>113.3</c:v>
                </c:pt>
                <c:pt idx="3">
                  <c:v>259</c:v>
                </c:pt>
                <c:pt idx="4">
                  <c:v>570.20000000000005</c:v>
                </c:pt>
                <c:pt idx="5">
                  <c:v>847.6</c:v>
                </c:pt>
                <c:pt idx="6">
                  <c:v>936.7</c:v>
                </c:pt>
                <c:pt idx="7">
                  <c:v>941</c:v>
                </c:pt>
                <c:pt idx="8">
                  <c:v>941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(toutes!$C$77,toutes!$H$77,toutes!$M$77,toutes!$S$77,toutes!$X$77,toutes!$AC$77,toutes!$AI$77,toutes!$AN$77,toutes!$AS$77)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53.5</c:v>
                </c:pt>
                <c:pt idx="3">
                  <c:v>230.2</c:v>
                </c:pt>
                <c:pt idx="4">
                  <c:v>507.8</c:v>
                </c:pt>
                <c:pt idx="5">
                  <c:v>756.2</c:v>
                </c:pt>
                <c:pt idx="6">
                  <c:v>878</c:v>
                </c:pt>
                <c:pt idx="7">
                  <c:v>907.7</c:v>
                </c:pt>
                <c:pt idx="8">
                  <c:v>907.7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(toutes!$D$77,toutes!$I$77,toutes!$N$77,toutes!$T$77,toutes!$Y$77,toutes!$AD$77,toutes!$AJ$77,toutes!$AO$77,toutes!$AT$77)</c:f>
              <c:numCache>
                <c:formatCode>General</c:formatCode>
                <c:ptCount val="9"/>
                <c:pt idx="0">
                  <c:v>9.1</c:v>
                </c:pt>
                <c:pt idx="1">
                  <c:v>14.1</c:v>
                </c:pt>
                <c:pt idx="2">
                  <c:v>112.7</c:v>
                </c:pt>
                <c:pt idx="3">
                  <c:v>321.10000000000002</c:v>
                </c:pt>
                <c:pt idx="4" formatCode="0.0">
                  <c:v>735.76457142857157</c:v>
                </c:pt>
                <c:pt idx="5">
                  <c:v>861.6</c:v>
                </c:pt>
                <c:pt idx="6">
                  <c:v>966.9</c:v>
                </c:pt>
                <c:pt idx="7">
                  <c:v>985.8</c:v>
                </c:pt>
                <c:pt idx="8">
                  <c:v>985.8</c:v>
                </c:pt>
              </c:numCache>
            </c:numRef>
          </c:val>
        </c:ser>
        <c:ser>
          <c:idx val="3"/>
          <c:order val="3"/>
          <c:tx>
            <c:strRef>
              <c:f>toutes!$Z$4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(toutes!$E$77,toutes!$J$77,toutes!$O$77,toutes!$U$77,toutes!$Z$77,toutes!$AE$77,toutes!$AK$77,toutes!$AP$77,toutes!$AU$77)</c:f>
              <c:numCache>
                <c:formatCode>General</c:formatCode>
                <c:ptCount val="9"/>
                <c:pt idx="0">
                  <c:v>0</c:v>
                </c:pt>
                <c:pt idx="1">
                  <c:v>9.3000000000000007</c:v>
                </c:pt>
                <c:pt idx="2">
                  <c:v>91.4</c:v>
                </c:pt>
                <c:pt idx="3">
                  <c:v>227.2</c:v>
                </c:pt>
                <c:pt idx="4">
                  <c:v>485.8</c:v>
                </c:pt>
                <c:pt idx="5">
                  <c:v>712.3</c:v>
                </c:pt>
                <c:pt idx="6">
                  <c:v>801.4</c:v>
                </c:pt>
                <c:pt idx="7">
                  <c:v>841.1</c:v>
                </c:pt>
                <c:pt idx="8">
                  <c:v>839.5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(toutes!$F$77,toutes!$K$77,toutes!$P$77,toutes!$V$77,toutes!$AA$77,toutes!$AF$77,toutes!$AL$77,toutes!$AQ$77,toutes!$AV$77)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71.5</c:v>
                </c:pt>
                <c:pt idx="3">
                  <c:v>296</c:v>
                </c:pt>
                <c:pt idx="4">
                  <c:v>568.9</c:v>
                </c:pt>
                <c:pt idx="5">
                  <c:v>810.4</c:v>
                </c:pt>
                <c:pt idx="6">
                  <c:v>917.4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04544"/>
        <c:axId val="175406464"/>
      </c:barChart>
      <c:catAx>
        <c:axId val="1754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40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406464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4045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95291755943716"/>
          <c:y val="0.95616883394461682"/>
          <c:w val="0.26605696684331032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09395973154363"/>
          <c:y val="7.4675324675324672E-2"/>
          <c:w val="0.87472035794183445"/>
          <c:h val="0.72240259740259738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dk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(toutes!$B$7,toutes!$G$7,toutes!$L$7,toutes!$R$7,toutes!$W$7,toutes!$AB$7,toutes!$AH$7,toutes!$AM$7,toutes!$AR$7)</c:f>
              <c:numCache>
                <c:formatCode>0.0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86.5</c:v>
                </c:pt>
                <c:pt idx="3">
                  <c:v>239.9</c:v>
                </c:pt>
                <c:pt idx="4" formatCode="General">
                  <c:v>515.79999999999995</c:v>
                </c:pt>
                <c:pt idx="5" formatCode="General">
                  <c:v>772.7</c:v>
                </c:pt>
                <c:pt idx="6" formatCode="General">
                  <c:v>859.6</c:v>
                </c:pt>
                <c:pt idx="7" formatCode="General">
                  <c:v>863.1</c:v>
                </c:pt>
                <c:pt idx="8" formatCode="General">
                  <c:v>863.1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(toutes!$C$7,toutes!$H$7,toutes!$M$7,toutes!$S$7,toutes!$X$7,toutes!$AC$7,toutes!$AI$7,toutes!$AN$7,toutes!$AS$7)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31.8</c:v>
                </c:pt>
                <c:pt idx="3">
                  <c:v>131</c:v>
                </c:pt>
                <c:pt idx="4" formatCode="General">
                  <c:v>403.6</c:v>
                </c:pt>
                <c:pt idx="5" formatCode="General">
                  <c:v>622.70000000000005</c:v>
                </c:pt>
                <c:pt idx="6" formatCode="General">
                  <c:v>744.6</c:v>
                </c:pt>
                <c:pt idx="7" formatCode="General">
                  <c:v>767.3</c:v>
                </c:pt>
                <c:pt idx="8" formatCode="General">
                  <c:v>767.3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(toutes!$D$7,toutes!$I$7,toutes!$N$7,toutes!$T$7,toutes!$Y$7,toutes!$AD$7,toutes!$AJ$7,toutes!$AO$7,toutes!$AT$7)</c:f>
              <c:numCache>
                <c:formatCode>0.0</c:formatCode>
                <c:ptCount val="9"/>
                <c:pt idx="0">
                  <c:v>10.4</c:v>
                </c:pt>
                <c:pt idx="1">
                  <c:v>14.3</c:v>
                </c:pt>
                <c:pt idx="2">
                  <c:v>83.5</c:v>
                </c:pt>
                <c:pt idx="3">
                  <c:v>235.3</c:v>
                </c:pt>
                <c:pt idx="4">
                  <c:v>508</c:v>
                </c:pt>
                <c:pt idx="5" formatCode="General">
                  <c:v>762.4</c:v>
                </c:pt>
                <c:pt idx="6" formatCode="General">
                  <c:v>872.3</c:v>
                </c:pt>
                <c:pt idx="7" formatCode="General">
                  <c:v>887.7</c:v>
                </c:pt>
                <c:pt idx="8" formatCode="General">
                  <c:v>887.9</c:v>
                </c:pt>
              </c:numCache>
            </c:numRef>
          </c:val>
        </c:ser>
        <c:ser>
          <c:idx val="3"/>
          <c:order val="3"/>
          <c:tx>
            <c:strRef>
              <c:f>toutes!$AE$4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(toutes!$E$7,toutes!$J$7,toutes!$O$7,toutes!$U$7,toutes!$Z$7,toutes!$AE$7,toutes!$AK$7,toutes!$AP$7,toutes!$AU$7)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34.5</c:v>
                </c:pt>
                <c:pt idx="3">
                  <c:v>127.5</c:v>
                </c:pt>
                <c:pt idx="4">
                  <c:v>388.9</c:v>
                </c:pt>
                <c:pt idx="5">
                  <c:v>604.9</c:v>
                </c:pt>
                <c:pt idx="6">
                  <c:v>685.4</c:v>
                </c:pt>
                <c:pt idx="7">
                  <c:v>712.7</c:v>
                </c:pt>
                <c:pt idx="8">
                  <c:v>712.7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(toutes!$F$7,toutes!$K$7,toutes!$P$7,toutes!$V$7,toutes!$AA$7,toutes!$AF$7,toutes!$AL$7,toutes!$AQ$7,toutes!$AV$7)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32.799999999999997</c:v>
                </c:pt>
                <c:pt idx="3">
                  <c:v>223.5</c:v>
                </c:pt>
                <c:pt idx="4">
                  <c:v>525.6</c:v>
                </c:pt>
                <c:pt idx="5">
                  <c:v>773.4</c:v>
                </c:pt>
                <c:pt idx="6">
                  <c:v>885.2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4635264"/>
        <c:axId val="44637184"/>
      </c:barChart>
      <c:catAx>
        <c:axId val="4463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502237094665404"/>
              <c:y val="0.87175322261514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63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6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0067102263793615E-2"/>
              <c:y val="0.2873376515171324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6352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630867041345057"/>
          <c:y val="0.96103892774502309"/>
          <c:w val="0.23870835369245769"/>
          <c:h val="3.2835356125399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82774049217"/>
          <c:y val="7.6298701298701296E-2"/>
          <c:w val="0.88590604026845643"/>
          <c:h val="0.72077922077922074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dk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(toutes!$B$12,toutes!$G$12,toutes!$L$12,toutes!$R$12,toutes!$W$12,toutes!$AB$12,toutes!$AH$12,toutes!$AM$12,toutes!$AR$12)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11.733333333333334</c:v>
                </c:pt>
                <c:pt idx="2">
                  <c:v>137.13333333333333</c:v>
                </c:pt>
                <c:pt idx="3" formatCode="General">
                  <c:v>347.8</c:v>
                </c:pt>
                <c:pt idx="4">
                  <c:v>708.36666666666667</c:v>
                </c:pt>
                <c:pt idx="5">
                  <c:v>1014.1333333333333</c:v>
                </c:pt>
                <c:pt idx="6">
                  <c:v>1141.0333333333333</c:v>
                </c:pt>
                <c:pt idx="7">
                  <c:v>1151.5333333333335</c:v>
                </c:pt>
                <c:pt idx="8">
                  <c:v>1151.5333333333335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(toutes!$C$12,toutes!$H$12,toutes!$M$12,toutes!$S$12,toutes!$X$12,toutes!$AC$12,toutes!$AI$12,toutes!$AN$12,toutes!$AS$12)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0.16666666666666666</c:v>
                </c:pt>
                <c:pt idx="2" formatCode="General">
                  <c:v>58.5</c:v>
                </c:pt>
                <c:pt idx="3">
                  <c:v>249.03333333333333</c:v>
                </c:pt>
                <c:pt idx="4">
                  <c:v>589.56666666666661</c:v>
                </c:pt>
                <c:pt idx="5">
                  <c:v>870.86666666666667</c:v>
                </c:pt>
                <c:pt idx="6">
                  <c:v>1046.6666666666667</c:v>
                </c:pt>
                <c:pt idx="7">
                  <c:v>1075.7333333333333</c:v>
                </c:pt>
                <c:pt idx="8">
                  <c:v>1075.8333333333333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(toutes!$D$12,toutes!$I$12,toutes!$N$12,toutes!$T$12,toutes!$Y$12,toutes!$AD$12,toutes!$AJ$12,toutes!$AO$12,toutes!$AT$12)</c:f>
              <c:numCache>
                <c:formatCode>0.0</c:formatCode>
                <c:ptCount val="9"/>
                <c:pt idx="0">
                  <c:v>3.4666666666666668</c:v>
                </c:pt>
                <c:pt idx="1">
                  <c:v>20.3</c:v>
                </c:pt>
                <c:pt idx="2">
                  <c:v>132.26666666666665</c:v>
                </c:pt>
                <c:pt idx="3">
                  <c:v>357.89999999999992</c:v>
                </c:pt>
                <c:pt idx="4">
                  <c:v>688.06666666666661</c:v>
                </c:pt>
                <c:pt idx="5" formatCode="General">
                  <c:v>976.2</c:v>
                </c:pt>
                <c:pt idx="6">
                  <c:v>1117.6500000000001</c:v>
                </c:pt>
                <c:pt idx="7" formatCode="General">
                  <c:v>1181.1999999999998</c:v>
                </c:pt>
                <c:pt idx="8" formatCode="General">
                  <c:v>1181.1999999999998</c:v>
                </c:pt>
              </c:numCache>
            </c:numRef>
          </c:val>
        </c:ser>
        <c:ser>
          <c:idx val="3"/>
          <c:order val="3"/>
          <c:tx>
            <c:strRef>
              <c:f>toutes!$O$4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(toutes!$E$12,toutes!$J$12,toutes!$O$12,toutes!$U$12,toutes!$Z$12,toutes!$AE$12,toutes!$AK$12,toutes!$AP$12,toutes!$AU$12)</c:f>
              <c:numCache>
                <c:formatCode>0.0</c:formatCode>
                <c:ptCount val="9"/>
                <c:pt idx="0">
                  <c:v>0</c:v>
                </c:pt>
                <c:pt idx="1">
                  <c:v>1.2333333333333334</c:v>
                </c:pt>
                <c:pt idx="2">
                  <c:v>82.100000000000009</c:v>
                </c:pt>
                <c:pt idx="3">
                  <c:v>241.86666666666667</c:v>
                </c:pt>
                <c:pt idx="4">
                  <c:v>573.6</c:v>
                </c:pt>
                <c:pt idx="5">
                  <c:v>840.4666666666667</c:v>
                </c:pt>
                <c:pt idx="6">
                  <c:v>955.26666666666677</c:v>
                </c:pt>
                <c:pt idx="7">
                  <c:v>991.5</c:v>
                </c:pt>
                <c:pt idx="8">
                  <c:v>992.76666666666677</c:v>
                </c:pt>
              </c:numCache>
            </c:numRef>
          </c:val>
        </c:ser>
        <c:ser>
          <c:idx val="4"/>
          <c:order val="4"/>
          <c:tx>
            <c:strRef>
              <c:f>toutes!$AL$4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(toutes!$F$12,toutes!$K$12,toutes!$P$12,toutes!$V$12,toutes!$AA$12,toutes!$AF$12,toutes!$AL$12,toutes!$AQ$12,toutes!$AV$12)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66.05</c:v>
                </c:pt>
                <c:pt idx="3">
                  <c:v>303.0333333333333</c:v>
                </c:pt>
                <c:pt idx="4">
                  <c:v>627.06666666666661</c:v>
                </c:pt>
                <c:pt idx="5">
                  <c:v>913.93333333333339</c:v>
                </c:pt>
                <c:pt idx="6">
                  <c:v>1053.3333333333333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74102016"/>
        <c:axId val="174103936"/>
      </c:barChart>
      <c:catAx>
        <c:axId val="17410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664424085847053"/>
              <c:y val="0.8717532295433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10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03936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0067101074851646E-2"/>
              <c:y val="0.28896115998529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1020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071586236490878"/>
          <c:y val="0.96103892550890424"/>
          <c:w val="0.23870829696120011"/>
          <c:h val="3.28354151170843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541387024609"/>
          <c:y val="3.4090909090909088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dk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fr-CA"/>
                      <a:t>189,5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(toutes!$B$16,toutes!$G$16,toutes!$L$16,toutes!$R$16,toutes!$W$16,toutes!$AB$16,toutes!$AH$16,toutes!$AM$16,toutes!$AR$16)</c:f>
              <c:numCache>
                <c:formatCode>General</c:formatCode>
                <c:ptCount val="9"/>
                <c:pt idx="0">
                  <c:v>0</c:v>
                </c:pt>
                <c:pt idx="1">
                  <c:v>25.849999999999998</c:v>
                </c:pt>
                <c:pt idx="2" formatCode="0.0">
                  <c:v>189.45</c:v>
                </c:pt>
                <c:pt idx="3" formatCode="0.0">
                  <c:v>414.15</c:v>
                </c:pt>
                <c:pt idx="4">
                  <c:v>774.8</c:v>
                </c:pt>
                <c:pt idx="5">
                  <c:v>1070.1999999999998</c:v>
                </c:pt>
                <c:pt idx="6">
                  <c:v>1232.6999999999998</c:v>
                </c:pt>
                <c:pt idx="7">
                  <c:v>1251.5500000000002</c:v>
                </c:pt>
                <c:pt idx="8">
                  <c:v>1251.5500000000002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(toutes!$C$16,toutes!$H$16,toutes!$M$16,toutes!$S$16,toutes!$X$16,toutes!$AC$16,toutes!$AI$16,toutes!$AN$16,toutes!$AS$16)</c:f>
              <c:numCache>
                <c:formatCode>General</c:formatCode>
                <c:ptCount val="9"/>
                <c:pt idx="0">
                  <c:v>0</c:v>
                </c:pt>
                <c:pt idx="1">
                  <c:v>14.75</c:v>
                </c:pt>
                <c:pt idx="2" formatCode="0.0">
                  <c:v>132.9</c:v>
                </c:pt>
                <c:pt idx="3" formatCode="0.0">
                  <c:v>373.35</c:v>
                </c:pt>
                <c:pt idx="4">
                  <c:v>724.95</c:v>
                </c:pt>
                <c:pt idx="5">
                  <c:v>1021.7</c:v>
                </c:pt>
                <c:pt idx="6">
                  <c:v>1218</c:v>
                </c:pt>
                <c:pt idx="7">
                  <c:v>1261.3000000000002</c:v>
                </c:pt>
                <c:pt idx="8">
                  <c:v>1267.75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(toutes!$D$16,toutes!$I$16,toutes!$N$16,toutes!$T$16,toutes!$Y$16,toutes!$AD$16,toutes!$AJ$16,toutes!$AO$16,toutes!$AT$16)</c:f>
              <c:numCache>
                <c:formatCode>General</c:formatCode>
                <c:ptCount val="9"/>
                <c:pt idx="0">
                  <c:v>15.149999999999999</c:v>
                </c:pt>
                <c:pt idx="1">
                  <c:v>32.549999999999997</c:v>
                </c:pt>
                <c:pt idx="2" formatCode="0.0">
                  <c:v>189.64999999999998</c:v>
                </c:pt>
                <c:pt idx="3" formatCode="0.0">
                  <c:v>448.25</c:v>
                </c:pt>
                <c:pt idx="4" formatCode="0.0">
                  <c:v>783.45</c:v>
                </c:pt>
                <c:pt idx="5">
                  <c:v>1121.75</c:v>
                </c:pt>
                <c:pt idx="6" formatCode="0.0">
                  <c:v>1282</c:v>
                </c:pt>
                <c:pt idx="7">
                  <c:v>1336.2</c:v>
                </c:pt>
                <c:pt idx="8">
                  <c:v>1338.6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(toutes!$E$16,toutes!$J$16,toutes!$O$16,toutes!$U$16,toutes!$Z$16,toutes!$AE$16,toutes!$AK$16,toutes!$AP$16,toutes!$AU$16)</c:f>
              <c:numCache>
                <c:formatCode>General</c:formatCode>
                <c:ptCount val="9"/>
                <c:pt idx="0">
                  <c:v>0</c:v>
                </c:pt>
                <c:pt idx="1">
                  <c:v>21.700000000000003</c:v>
                </c:pt>
                <c:pt idx="2">
                  <c:v>173.6</c:v>
                </c:pt>
                <c:pt idx="3">
                  <c:v>381.4</c:v>
                </c:pt>
                <c:pt idx="4">
                  <c:v>707.4</c:v>
                </c:pt>
                <c:pt idx="5">
                  <c:v>992.55</c:v>
                </c:pt>
                <c:pt idx="6">
                  <c:v>1126.55</c:v>
                </c:pt>
                <c:pt idx="7">
                  <c:v>1185.6999999999998</c:v>
                </c:pt>
                <c:pt idx="8">
                  <c:v>1189</c:v>
                </c:pt>
              </c:numCache>
            </c:numRef>
          </c:val>
        </c:ser>
        <c:ser>
          <c:idx val="4"/>
          <c:order val="4"/>
          <c:tx>
            <c:strRef>
              <c:f>toutes!$AL$4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(toutes!$F$16,toutes!$K$16,toutes!$P$16,toutes!$V$16,toutes!$AA$16,toutes!$AF$16,toutes!$AL$16,toutes!$AQ$16,toutes!$AV$16)</c:f>
              <c:numCache>
                <c:formatCode>General</c:formatCode>
                <c:ptCount val="9"/>
                <c:pt idx="0">
                  <c:v>0</c:v>
                </c:pt>
                <c:pt idx="1">
                  <c:v>4.05</c:v>
                </c:pt>
                <c:pt idx="2">
                  <c:v>115.5</c:v>
                </c:pt>
                <c:pt idx="3">
                  <c:v>376.15</c:v>
                </c:pt>
                <c:pt idx="4">
                  <c:v>691.7</c:v>
                </c:pt>
                <c:pt idx="5">
                  <c:v>970.9</c:v>
                </c:pt>
                <c:pt idx="6">
                  <c:v>1128.6500000000001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68320"/>
        <c:axId val="174260608"/>
      </c:barChart>
      <c:catAx>
        <c:axId val="1741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296699068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26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260608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2738358713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1683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95303512592843"/>
          <c:y val="0.95616883394461682"/>
          <c:w val="0.26607871664418203"/>
          <c:h val="3.5104089187548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541387024609"/>
          <c:y val="3.4090909090909088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(toutes!$B$20,toutes!$G$20,toutes!$L$20,toutes!$R$20,toutes!$W$20,toutes!$AB$20,toutes!$AH$20,toutes!$AM$20,toutes!$AR$20)</c:f>
              <c:numCache>
                <c:formatCode>General</c:formatCode>
                <c:ptCount val="9"/>
                <c:pt idx="0">
                  <c:v>0</c:v>
                </c:pt>
                <c:pt idx="1">
                  <c:v>11.85</c:v>
                </c:pt>
                <c:pt idx="2" formatCode="0.0">
                  <c:v>139.15</c:v>
                </c:pt>
                <c:pt idx="3" formatCode="0.0">
                  <c:v>336.15</c:v>
                </c:pt>
                <c:pt idx="4">
                  <c:v>688.3</c:v>
                </c:pt>
                <c:pt idx="5" formatCode="0.0">
                  <c:v>975.45</c:v>
                </c:pt>
                <c:pt idx="6">
                  <c:v>1118.0999999999999</c:v>
                </c:pt>
                <c:pt idx="7">
                  <c:v>1127</c:v>
                </c:pt>
                <c:pt idx="8">
                  <c:v>1127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(toutes!$C$20,toutes!$H$20,toutes!$M$20,toutes!$S$20,toutes!$X$20,toutes!$AC$20,toutes!$AI$20,toutes!$AN$20,toutes!$AS$20)</c:f>
              <c:numCache>
                <c:formatCode>General</c:formatCode>
                <c:ptCount val="9"/>
                <c:pt idx="0">
                  <c:v>0</c:v>
                </c:pt>
                <c:pt idx="1">
                  <c:v>2.15</c:v>
                </c:pt>
                <c:pt idx="2" formatCode="0.0">
                  <c:v>77.900000000000006</c:v>
                </c:pt>
                <c:pt idx="3" formatCode="0.0">
                  <c:v>287.5</c:v>
                </c:pt>
                <c:pt idx="4">
                  <c:v>607.70000000000005</c:v>
                </c:pt>
                <c:pt idx="5" formatCode="0.0">
                  <c:v>878.85</c:v>
                </c:pt>
                <c:pt idx="6">
                  <c:v>1046.1999999999998</c:v>
                </c:pt>
                <c:pt idx="7">
                  <c:v>1074</c:v>
                </c:pt>
                <c:pt idx="8">
                  <c:v>1076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1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(toutes!$D$20,toutes!$I$20,toutes!$N$20,toutes!$T$20,toutes!$Y$20,toutes!$AD$20,toutes!$AJ$20,toutes!$AO$20,toutes!$AT$20)</c:f>
              <c:numCache>
                <c:formatCode>General</c:formatCode>
                <c:ptCount val="9"/>
                <c:pt idx="0">
                  <c:v>8.8000000000000007</c:v>
                </c:pt>
                <c:pt idx="1">
                  <c:v>24.9</c:v>
                </c:pt>
                <c:pt idx="2" formatCode="0.0">
                  <c:v>143.94999999999999</c:v>
                </c:pt>
                <c:pt idx="3" formatCode="0.0">
                  <c:v>372</c:v>
                </c:pt>
                <c:pt idx="4">
                  <c:v>677.40000000000009</c:v>
                </c:pt>
                <c:pt idx="5">
                  <c:v>982.35</c:v>
                </c:pt>
                <c:pt idx="6">
                  <c:v>1133.7</c:v>
                </c:pt>
                <c:pt idx="7">
                  <c:v>1157.2</c:v>
                </c:pt>
                <c:pt idx="8">
                  <c:v>1157.2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(toutes!$E$20,toutes!$J$20,toutes!$O$20,toutes!$U$20,toutes!$Z$20,toutes!$AE$20,toutes!$AK$20,toutes!$AP$20,toutes!$AU$20)</c:f>
              <c:numCache>
                <c:formatCode>General</c:formatCode>
                <c:ptCount val="9"/>
                <c:pt idx="0">
                  <c:v>0</c:v>
                </c:pt>
                <c:pt idx="1">
                  <c:v>13.399999999999999</c:v>
                </c:pt>
                <c:pt idx="2">
                  <c:v>126.44999999999999</c:v>
                </c:pt>
                <c:pt idx="3">
                  <c:v>296.95</c:v>
                </c:pt>
                <c:pt idx="4">
                  <c:v>609.04999999999995</c:v>
                </c:pt>
                <c:pt idx="5">
                  <c:v>864.05</c:v>
                </c:pt>
                <c:pt idx="6">
                  <c:v>974.95</c:v>
                </c:pt>
                <c:pt idx="7">
                  <c:v>1011.0999999999999</c:v>
                </c:pt>
                <c:pt idx="8">
                  <c:v>1013.4499999999999</c:v>
                </c:pt>
              </c:numCache>
            </c:numRef>
          </c:val>
        </c:ser>
        <c:ser>
          <c:idx val="4"/>
          <c:order val="4"/>
          <c:tx>
            <c:strRef>
              <c:f>toutes!$AQ$4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(toutes!$F$20,toutes!$K$20,toutes!$P$20,toutes!$V$20,toutes!$AA$20,toutes!$AF$20,toutes!$AL$20,toutes!$AQ$20,toutes!$AV$20)</c:f>
              <c:numCache>
                <c:formatCode>General</c:formatCode>
                <c:ptCount val="9"/>
                <c:pt idx="0">
                  <c:v>0</c:v>
                </c:pt>
                <c:pt idx="1">
                  <c:v>1.1000000000000001</c:v>
                </c:pt>
                <c:pt idx="2">
                  <c:v>90.8</c:v>
                </c:pt>
                <c:pt idx="3">
                  <c:v>328.85</c:v>
                </c:pt>
                <c:pt idx="4">
                  <c:v>628.70000000000005</c:v>
                </c:pt>
                <c:pt idx="5">
                  <c:v>898.1</c:v>
                </c:pt>
                <c:pt idx="6">
                  <c:v>1019.1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04640"/>
        <c:axId val="174319104"/>
      </c:barChart>
      <c:catAx>
        <c:axId val="1743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296699068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31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319104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2738358713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3046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95303512592843"/>
          <c:y val="0.95616883394461682"/>
          <c:w val="0.27705789855775309"/>
          <c:h val="3.5104089187548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541387024609"/>
          <c:y val="3.4090909090909088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(toutes!$B$25,toutes!$G$25,toutes!$L$25,toutes!$R$25,toutes!$W$25,toutes!$AB$25,toutes!$AH$25,toutes!$AM$25,toutes!$AR$25)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 formatCode="0.0">
                  <c:v>162.46666666666667</c:v>
                </c:pt>
                <c:pt idx="3" formatCode="0.0">
                  <c:v>366.36666666666662</c:v>
                </c:pt>
                <c:pt idx="4">
                  <c:v>726.80000000000007</c:v>
                </c:pt>
                <c:pt idx="5" formatCode="0.0">
                  <c:v>1007.6333333333333</c:v>
                </c:pt>
                <c:pt idx="6">
                  <c:v>1168.2</c:v>
                </c:pt>
                <c:pt idx="7" formatCode="0.0">
                  <c:v>1186.7333333333333</c:v>
                </c:pt>
                <c:pt idx="8" formatCode="0.0">
                  <c:v>1186.7333333333333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(toutes!$C$25,toutes!$H$25,toutes!$M$25,toutes!$S$25,toutes!$X$25,toutes!$AC$25,toutes!$AI$25,toutes!$AN$25,toutes!$AS$25)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20.466666666666665</c:v>
                </c:pt>
                <c:pt idx="2">
                  <c:v>143</c:v>
                </c:pt>
                <c:pt idx="3">
                  <c:v>359.43333333333339</c:v>
                </c:pt>
                <c:pt idx="4">
                  <c:v>678.73333333333323</c:v>
                </c:pt>
                <c:pt idx="5">
                  <c:v>961.06666666666661</c:v>
                </c:pt>
                <c:pt idx="6">
                  <c:v>1145.4666666666665</c:v>
                </c:pt>
                <c:pt idx="7" formatCode="General">
                  <c:v>1185.7</c:v>
                </c:pt>
                <c:pt idx="8">
                  <c:v>1193.7666666666667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1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(toutes!$D$25,toutes!$I$25,toutes!$N$25,toutes!$T$25,toutes!$Y$25,toutes!$AD$25,toutes!$AJ$25,toutes!$AO$25,toutes!$AT$25)</c:f>
              <c:numCache>
                <c:formatCode>0.0</c:formatCode>
                <c:ptCount val="9"/>
                <c:pt idx="0">
                  <c:v>19.533333333333335</c:v>
                </c:pt>
                <c:pt idx="1">
                  <c:v>36.766666666666666</c:v>
                </c:pt>
                <c:pt idx="2">
                  <c:v>182.16666666666666</c:v>
                </c:pt>
                <c:pt idx="3">
                  <c:v>417</c:v>
                </c:pt>
                <c:pt idx="4" formatCode="General">
                  <c:v>732.4</c:v>
                </c:pt>
                <c:pt idx="5">
                  <c:v>1059.0999999999999</c:v>
                </c:pt>
                <c:pt idx="6">
                  <c:v>1191.1666666666667</c:v>
                </c:pt>
                <c:pt idx="7">
                  <c:v>1249.1333333333332</c:v>
                </c:pt>
                <c:pt idx="8">
                  <c:v>1251.3333333333333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(toutes!$E$25,toutes!$J$25,toutes!$O$25,toutes!$U$25,toutes!$Z$25,toutes!$AE$25,toutes!$AK$25,toutes!$AP$25,toutes!$AU$25)</c:f>
              <c:numCache>
                <c:formatCode>0.0</c:formatCode>
                <c:ptCount val="9"/>
                <c:pt idx="0">
                  <c:v>0</c:v>
                </c:pt>
                <c:pt idx="1">
                  <c:v>17.366666666666667</c:v>
                </c:pt>
                <c:pt idx="2">
                  <c:v>155.9</c:v>
                </c:pt>
                <c:pt idx="3">
                  <c:v>371.33333333333331</c:v>
                </c:pt>
                <c:pt idx="4">
                  <c:v>723</c:v>
                </c:pt>
                <c:pt idx="5">
                  <c:v>994.66666666666663</c:v>
                </c:pt>
                <c:pt idx="6">
                  <c:v>1124.2333333333333</c:v>
                </c:pt>
                <c:pt idx="7">
                  <c:v>1177.2666666666667</c:v>
                </c:pt>
                <c:pt idx="8">
                  <c:v>1181.7666666666667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(toutes!$F$25,toutes!$K$25,toutes!$P$25,toutes!$V$25,toutes!$AA$25,toutes!$AF$25,toutes!$AL$25,toutes!$AQ$25,toutes!$AV$25)</c:f>
              <c:numCache>
                <c:formatCode>0.0</c:formatCode>
                <c:ptCount val="9"/>
                <c:pt idx="0">
                  <c:v>0</c:v>
                </c:pt>
                <c:pt idx="1">
                  <c:v>9.0333333333333332</c:v>
                </c:pt>
                <c:pt idx="2">
                  <c:v>114.46666666666665</c:v>
                </c:pt>
                <c:pt idx="3">
                  <c:v>353.5</c:v>
                </c:pt>
                <c:pt idx="4">
                  <c:v>661.73333333333323</c:v>
                </c:pt>
                <c:pt idx="5">
                  <c:v>931.5333333333333</c:v>
                </c:pt>
                <c:pt idx="6">
                  <c:v>1095.2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85024"/>
        <c:axId val="174387200"/>
      </c:barChart>
      <c:catAx>
        <c:axId val="17438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296699068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3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387200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2738358713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385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95303512592843"/>
          <c:y val="0.95616883394461682"/>
          <c:w val="0.26607871664418203"/>
          <c:h val="3.5104089187548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541387024609"/>
          <c:y val="3.4090909090909088E-2"/>
          <c:w val="0.88366890380313201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(toutes!$B$29,toutes!$G$29,toutes!$L$29,toutes!$R$29,toutes!$W$29,toutes!$AB$29,toutes!$AH$29,toutes!$AM$29,toutes!$AR$29)</c:f>
              <c:numCache>
                <c:formatCode>General</c:formatCode>
                <c:ptCount val="9"/>
                <c:pt idx="0">
                  <c:v>0</c:v>
                </c:pt>
                <c:pt idx="1">
                  <c:v>14.2</c:v>
                </c:pt>
                <c:pt idx="2" formatCode="0.0">
                  <c:v>169.7</c:v>
                </c:pt>
                <c:pt idx="3" formatCode="0.0">
                  <c:v>389.85</c:v>
                </c:pt>
                <c:pt idx="4" formatCode="0.0">
                  <c:v>747.1</c:v>
                </c:pt>
                <c:pt idx="5" formatCode="0.0">
                  <c:v>1032.8499999999999</c:v>
                </c:pt>
                <c:pt idx="6" formatCode="0.0">
                  <c:v>1178.5</c:v>
                </c:pt>
                <c:pt idx="7">
                  <c:v>1190.2</c:v>
                </c:pt>
                <c:pt idx="8">
                  <c:v>1190.2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(toutes!$C$29,toutes!$H$29,toutes!$M$29,toutes!$S$29,toutes!$X$29,toutes!$AC$29,toutes!$AI$29,toutes!$AN$29,toutes!$AS$29)</c:f>
              <c:numCache>
                <c:formatCode>General</c:formatCode>
                <c:ptCount val="9"/>
                <c:pt idx="0">
                  <c:v>0</c:v>
                </c:pt>
                <c:pt idx="1">
                  <c:v>5.6</c:v>
                </c:pt>
                <c:pt idx="2" formatCode="0.0">
                  <c:v>95.85</c:v>
                </c:pt>
                <c:pt idx="3" formatCode="0.0">
                  <c:v>329.3</c:v>
                </c:pt>
                <c:pt idx="4" formatCode="0.0">
                  <c:v>679.84999999999991</c:v>
                </c:pt>
                <c:pt idx="5" formatCode="0.0">
                  <c:v>968.55</c:v>
                </c:pt>
                <c:pt idx="6" formatCode="0.0">
                  <c:v>1144.05</c:v>
                </c:pt>
                <c:pt idx="7" formatCode="0.0">
                  <c:v>1176.6500000000001</c:v>
                </c:pt>
                <c:pt idx="8">
                  <c:v>1178.25</c:v>
                </c:pt>
              </c:numCache>
            </c:numRef>
          </c:val>
        </c:ser>
        <c:ser>
          <c:idx val="2"/>
          <c:order val="2"/>
          <c:tx>
            <c:v>"2012"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(toutes!$D$29,toutes!$I$29,toutes!$N$29,toutes!$T$29,toutes!$Y$29,toutes!$AD$29,toutes!$AJ$29,toutes!$AO$29,toutes!$AT$29)</c:f>
              <c:numCache>
                <c:formatCode>General</c:formatCode>
                <c:ptCount val="9"/>
                <c:pt idx="0">
                  <c:v>21.35</c:v>
                </c:pt>
                <c:pt idx="1">
                  <c:v>20</c:v>
                </c:pt>
                <c:pt idx="2" formatCode="0.0">
                  <c:v>158.44999999999999</c:v>
                </c:pt>
                <c:pt idx="3" formatCode="0.0">
                  <c:v>404.95</c:v>
                </c:pt>
                <c:pt idx="4" formatCode="0.0">
                  <c:v>733.55</c:v>
                </c:pt>
                <c:pt idx="5">
                  <c:v>1043.6500000000001</c:v>
                </c:pt>
                <c:pt idx="6" formatCode="0.0">
                  <c:v>1171.55</c:v>
                </c:pt>
                <c:pt idx="7" formatCode="0.0">
                  <c:v>1206.55</c:v>
                </c:pt>
                <c:pt idx="8" formatCode="0.0">
                  <c:v>1206.55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(toutes!$E$29,toutes!$J$29,toutes!$O$29,toutes!$U$29,toutes!$Z$29,toutes!$AE$29,toutes!$AK$29,toutes!$AP$29,toutes!$AU$29)</c:f>
              <c:numCache>
                <c:formatCode>General</c:formatCode>
                <c:ptCount val="9"/>
                <c:pt idx="0">
                  <c:v>0</c:v>
                </c:pt>
                <c:pt idx="1">
                  <c:v>9.9</c:v>
                </c:pt>
                <c:pt idx="2">
                  <c:v>133.30000000000001</c:v>
                </c:pt>
                <c:pt idx="3">
                  <c:v>331.8</c:v>
                </c:pt>
                <c:pt idx="4">
                  <c:v>661.05</c:v>
                </c:pt>
                <c:pt idx="5">
                  <c:v>928.5</c:v>
                </c:pt>
                <c:pt idx="6">
                  <c:v>1044.3000000000002</c:v>
                </c:pt>
                <c:pt idx="7">
                  <c:v>1092.8000000000002</c:v>
                </c:pt>
                <c:pt idx="8">
                  <c:v>1095.3499999999999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(toutes!$F$34,toutes!$K$34,toutes!$P$34,toutes!$V$34,toutes!$AA$34,toutes!$AF$34,toutes!$AL$34,toutes!$AQ$34,toutes!$AV$34)</c:f>
              <c:numCache>
                <c:formatCode>0.0</c:formatCode>
                <c:ptCount val="9"/>
                <c:pt idx="0">
                  <c:v>0</c:v>
                </c:pt>
                <c:pt idx="1">
                  <c:v>2.1666666666666665</c:v>
                </c:pt>
                <c:pt idx="2">
                  <c:v>113.66666666666667</c:v>
                </c:pt>
                <c:pt idx="3">
                  <c:v>360.09999999999997</c:v>
                </c:pt>
                <c:pt idx="4">
                  <c:v>640.96666666666658</c:v>
                </c:pt>
                <c:pt idx="5">
                  <c:v>910.83333333333337</c:v>
                </c:pt>
                <c:pt idx="6">
                  <c:v>1068.6333333333334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65952"/>
        <c:axId val="174788608"/>
      </c:barChart>
      <c:catAx>
        <c:axId val="1747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776288602222596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7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88608"/>
        <c:scaling>
          <c:orientation val="minMax"/>
          <c:max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26298699633229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7659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736016200662492"/>
          <c:y val="0.95616883394461682"/>
          <c:w val="0.27775154085582526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74049217002238E-2"/>
          <c:y val="3.4090909090909088E-2"/>
          <c:w val="0.90604026845637586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(toutes!$B$34,toutes!$G$34,toutes!$L$34,toutes!$R$34,toutes!$W$34,toutes!$AB$34,toutes!$AH$34,toutes!$AM$34,toutes!$AR$34)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21.066666666666666</c:v>
                </c:pt>
                <c:pt idx="2">
                  <c:v>183.83333333333334</c:v>
                </c:pt>
                <c:pt idx="3">
                  <c:v>394.36666666666673</c:v>
                </c:pt>
                <c:pt idx="4">
                  <c:v>748.06666666666661</c:v>
                </c:pt>
                <c:pt idx="5">
                  <c:v>1036.8333333333333</c:v>
                </c:pt>
                <c:pt idx="6">
                  <c:v>1181.9666666666665</c:v>
                </c:pt>
                <c:pt idx="7" formatCode="General">
                  <c:v>1198.8999999999999</c:v>
                </c:pt>
                <c:pt idx="8" formatCode="General">
                  <c:v>1198.8999999999999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(toutes!$C$34,toutes!$H$34,toutes!$M$34,toutes!$S$34,toutes!$X$34,toutes!$AC$34,toutes!$AI$34,toutes!$AN$34,toutes!$AS$34)</c:f>
              <c:numCache>
                <c:formatCode>0.0</c:formatCode>
                <c:ptCount val="9"/>
                <c:pt idx="0" formatCode="General">
                  <c:v>0</c:v>
                </c:pt>
                <c:pt idx="1">
                  <c:v>11.966666666666667</c:v>
                </c:pt>
                <c:pt idx="2">
                  <c:v>118.63333333333333</c:v>
                </c:pt>
                <c:pt idx="3">
                  <c:v>361.26666666666665</c:v>
                </c:pt>
                <c:pt idx="4">
                  <c:v>714.09999999999991</c:v>
                </c:pt>
                <c:pt idx="5">
                  <c:v>1013.4333333333334</c:v>
                </c:pt>
                <c:pt idx="6">
                  <c:v>1207.0333333333335</c:v>
                </c:pt>
                <c:pt idx="7" formatCode="General">
                  <c:v>1244.5</c:v>
                </c:pt>
                <c:pt idx="8">
                  <c:v>1247.6666666666667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(toutes!$D$34,toutes!$I$34,toutes!$N$34,toutes!$T$34,toutes!$Y$34,toutes!$AD$34,toutes!$AJ$34,toutes!$AO$34,toutes!$AT$34)</c:f>
              <c:numCache>
                <c:formatCode>0.0</c:formatCode>
                <c:ptCount val="9"/>
                <c:pt idx="0">
                  <c:v>17.566666666666666</c:v>
                </c:pt>
                <c:pt idx="1">
                  <c:v>30.966666666666669</c:v>
                </c:pt>
                <c:pt idx="2">
                  <c:v>179.43333333333331</c:v>
                </c:pt>
                <c:pt idx="3">
                  <c:v>431.39999999999992</c:v>
                </c:pt>
                <c:pt idx="4">
                  <c:v>761.30000000000007</c:v>
                </c:pt>
                <c:pt idx="5">
                  <c:v>1072.8666666666668</c:v>
                </c:pt>
                <c:pt idx="6" formatCode="General">
                  <c:v>1214.5999999999999</c:v>
                </c:pt>
                <c:pt idx="7">
                  <c:v>1206.55</c:v>
                </c:pt>
                <c:pt idx="8">
                  <c:v>1206.55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(toutes!$E$34,toutes!$J$34,toutes!$O$34,toutes!$U$34,toutes!$Z$34,toutes!$AE$34,toutes!$AK$34,toutes!$AP$34,toutes!$AU$34)</c:f>
              <c:numCache>
                <c:formatCode>0.0</c:formatCode>
                <c:ptCount val="9"/>
                <c:pt idx="0">
                  <c:v>0</c:v>
                </c:pt>
                <c:pt idx="1">
                  <c:v>14</c:v>
                </c:pt>
                <c:pt idx="2">
                  <c:v>148.4</c:v>
                </c:pt>
                <c:pt idx="3">
                  <c:v>345</c:v>
                </c:pt>
                <c:pt idx="4">
                  <c:v>673.9</c:v>
                </c:pt>
                <c:pt idx="5">
                  <c:v>942.30000000000007</c:v>
                </c:pt>
                <c:pt idx="6">
                  <c:v>1059.5</c:v>
                </c:pt>
                <c:pt idx="7">
                  <c:v>1117.4666666666667</c:v>
                </c:pt>
                <c:pt idx="8">
                  <c:v>1119.4000000000001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(toutes!$F$34,toutes!$K$34,toutes!$P$34,toutes!$V$34,toutes!$AA$34,toutes!$AF$34,toutes!$AL$34,toutes!$AQ$34,toutes!$AV$34)</c:f>
              <c:numCache>
                <c:formatCode>0.0</c:formatCode>
                <c:ptCount val="9"/>
                <c:pt idx="0">
                  <c:v>0</c:v>
                </c:pt>
                <c:pt idx="1">
                  <c:v>2.1666666666666665</c:v>
                </c:pt>
                <c:pt idx="2">
                  <c:v>113.66666666666667</c:v>
                </c:pt>
                <c:pt idx="3">
                  <c:v>360.09999999999997</c:v>
                </c:pt>
                <c:pt idx="4">
                  <c:v>640.96666666666658</c:v>
                </c:pt>
                <c:pt idx="5">
                  <c:v>910.83333333333337</c:v>
                </c:pt>
                <c:pt idx="6">
                  <c:v>1068.6333333333334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831488"/>
        <c:axId val="174845952"/>
      </c:barChart>
      <c:catAx>
        <c:axId val="17483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8657713978361888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8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45952"/>
        <c:scaling>
          <c:orientation val="minMax"/>
          <c:max val="1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32792206348799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8314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176740645381256"/>
          <c:y val="0.95616883394461682"/>
          <c:w val="0.26605696684331032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829977628636E-2"/>
          <c:y val="3.4090909090909088E-2"/>
          <c:w val="0.89373601789709167"/>
          <c:h val="0.75487012987012991"/>
        </c:manualLayout>
      </c:layout>
      <c:barChart>
        <c:barDir val="col"/>
        <c:grouping val="clustered"/>
        <c:varyColors val="0"/>
        <c:ser>
          <c:idx val="0"/>
          <c:order val="0"/>
          <c:tx>
            <c:v>2010</c:v>
          </c:tx>
          <c:spPr>
            <a:pattFill prst="wdUpDiag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(toutes!$B$2,toutes!$G$2,toutes!$L$2,toutes!$R$2,toutes!$W$2,toutes!$AB$2,toutes!$AH$2,toutes!$AM$2,toutes!$AR$2)</c:f>
              <c:strCache>
                <c:ptCount val="9"/>
                <c:pt idx="0">
                  <c:v>1 au 31 mars</c:v>
                </c:pt>
                <c:pt idx="1">
                  <c:v>1 mars au 30 avril</c:v>
                </c:pt>
                <c:pt idx="2">
                  <c:v>1 mars au 31 mai</c:v>
                </c:pt>
                <c:pt idx="3">
                  <c:v>1 mars au 30 juin</c:v>
                </c:pt>
                <c:pt idx="4">
                  <c:v>1 mars au 31 juil.</c:v>
                </c:pt>
                <c:pt idx="5">
                  <c:v>1 mars au 31 août</c:v>
                </c:pt>
                <c:pt idx="6">
                  <c:v>1 mars au 30 sept.</c:v>
                </c:pt>
                <c:pt idx="7">
                  <c:v>1 mars au 31 oct.</c:v>
                </c:pt>
                <c:pt idx="8">
                  <c:v>1 mars au 30 nov.</c:v>
                </c:pt>
              </c:strCache>
            </c:strRef>
          </c:cat>
          <c:val>
            <c:numRef>
              <c:f>(toutes!$B$54,toutes!$G$54,toutes!$L$54,toutes!$R$54,toutes!$W$54,toutes!$AB$54,toutes!$AH$54,toutes!$AM$54,toutes!$AR$54)</c:f>
              <c:numCache>
                <c:formatCode>0.0</c:formatCode>
                <c:ptCount val="9"/>
                <c:pt idx="0">
                  <c:v>0</c:v>
                </c:pt>
                <c:pt idx="1">
                  <c:v>8.6642857142857146</c:v>
                </c:pt>
                <c:pt idx="2">
                  <c:v>145.53571428571428</c:v>
                </c:pt>
                <c:pt idx="3">
                  <c:v>345.2285714285714</c:v>
                </c:pt>
                <c:pt idx="4">
                  <c:v>688.25714285714287</c:v>
                </c:pt>
                <c:pt idx="5">
                  <c:v>960.71428571428567</c:v>
                </c:pt>
                <c:pt idx="6">
                  <c:v>1097.8428571428572</c:v>
                </c:pt>
                <c:pt idx="7">
                  <c:v>1106.5714285714287</c:v>
                </c:pt>
                <c:pt idx="8">
                  <c:v>1106.5714285714287</c:v>
                </c:pt>
              </c:numCache>
            </c:numRef>
          </c:val>
        </c:ser>
        <c:ser>
          <c:idx val="1"/>
          <c:order val="1"/>
          <c:tx>
            <c:v>2011</c:v>
          </c:tx>
          <c:spPr>
            <a:pattFill prst="pct75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(toutes!$C$54,toutes!$H$54,toutes!$M$54,toutes!$S$54,toutes!$X$54,toutes!$AC$54,toutes!$AI$54,toutes!$AN$54,toutes!$AS$54)</c:f>
              <c:numCache>
                <c:formatCode>0.0</c:formatCode>
                <c:ptCount val="9"/>
                <c:pt idx="0">
                  <c:v>0</c:v>
                </c:pt>
                <c:pt idx="1">
                  <c:v>2.6444444444444439</c:v>
                </c:pt>
                <c:pt idx="2">
                  <c:v>80.677777777777777</c:v>
                </c:pt>
                <c:pt idx="3">
                  <c:v>293.38888888888891</c:v>
                </c:pt>
                <c:pt idx="4">
                  <c:v>626.00000000000011</c:v>
                </c:pt>
                <c:pt idx="5">
                  <c:v>899.95000000000016</c:v>
                </c:pt>
                <c:pt idx="6">
                  <c:v>1055.7444444444443</c:v>
                </c:pt>
                <c:pt idx="7">
                  <c:v>1086.4444444444446</c:v>
                </c:pt>
                <c:pt idx="8">
                  <c:v>1087.3666666666668</c:v>
                </c:pt>
              </c:numCache>
            </c:numRef>
          </c:val>
        </c:ser>
        <c:ser>
          <c:idx val="2"/>
          <c:order val="2"/>
          <c:tx>
            <c:v>2012</c:v>
          </c:tx>
          <c:spPr>
            <a:pattFill prst="dkHorz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3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(toutes!$D$54,toutes!$I$54,toutes!$N$54,toutes!$T$54,toutes!$Y$54,toutes!$AD$54,toutes!$AJ$54,toutes!$AO$54,toutes!$AT$54)</c:f>
              <c:numCache>
                <c:formatCode>0.0</c:formatCode>
                <c:ptCount val="9"/>
                <c:pt idx="0">
                  <c:v>3.407142857142857</c:v>
                </c:pt>
                <c:pt idx="1">
                  <c:v>15.028571428571427</c:v>
                </c:pt>
                <c:pt idx="2">
                  <c:v>137.95714285714286</c:v>
                </c:pt>
                <c:pt idx="3">
                  <c:v>371.66428571428571</c:v>
                </c:pt>
                <c:pt idx="4">
                  <c:v>683.22142857142865</c:v>
                </c:pt>
                <c:pt idx="5">
                  <c:v>982.94999999999982</c:v>
                </c:pt>
                <c:pt idx="6">
                  <c:v>1105.7714285714287</c:v>
                </c:pt>
                <c:pt idx="7">
                  <c:v>1135.5285714285715</c:v>
                </c:pt>
                <c:pt idx="8">
                  <c:v>1135.5285714285715</c:v>
                </c:pt>
              </c:numCache>
            </c:numRef>
          </c:val>
        </c:ser>
        <c:ser>
          <c:idx val="3"/>
          <c:order val="3"/>
          <c:tx>
            <c:strRef>
              <c:f>toutes!$AK$4</c:f>
              <c:strCache>
                <c:ptCount val="1"/>
                <c:pt idx="0">
                  <c:v>2013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(toutes!$E$54,toutes!$J$54,toutes!$O$54,toutes!$U$54,toutes!$Z$54,toutes!$AE$54,toutes!$AK$54,toutes!$AP$54,toutes!$AU$54)</c:f>
              <c:numCache>
                <c:formatCode>0.0</c:formatCode>
                <c:ptCount val="9"/>
                <c:pt idx="0">
                  <c:v>0</c:v>
                </c:pt>
                <c:pt idx="1">
                  <c:v>7.8142857142857149</c:v>
                </c:pt>
                <c:pt idx="2">
                  <c:v>118.72857142857143</c:v>
                </c:pt>
                <c:pt idx="3">
                  <c:v>296.38571428571424</c:v>
                </c:pt>
                <c:pt idx="4">
                  <c:v>610.57857142857131</c:v>
                </c:pt>
                <c:pt idx="5">
                  <c:v>866.86428571428576</c:v>
                </c:pt>
                <c:pt idx="6">
                  <c:v>970.62142857142851</c:v>
                </c:pt>
                <c:pt idx="7">
                  <c:v>1011.5142857142857</c:v>
                </c:pt>
                <c:pt idx="8">
                  <c:v>1012.85</c:v>
                </c:pt>
              </c:numCache>
            </c:numRef>
          </c:val>
        </c:ser>
        <c:ser>
          <c:idx val="4"/>
          <c:order val="4"/>
          <c:tx>
            <c:strRef>
              <c:f>toutes!$F$4</c:f>
              <c:strCache>
                <c:ptCount val="1"/>
                <c:pt idx="0">
                  <c:v>2014</c:v>
                </c:pt>
              </c:strCache>
            </c:strRef>
          </c:tx>
          <c:spPr>
            <a:pattFill prst="shingle">
              <a:fgClr>
                <a:srgbClr val="FF0000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(toutes!$F$54,toutes!$K$54,toutes!$P$54,toutes!$V$54,toutes!$AA$54,toutes!$AF$54,toutes!$AL$54,toutes!$AQ$54,toutes!$AV$54)</c:f>
              <c:numCache>
                <c:formatCode>0.0</c:formatCode>
                <c:ptCount val="9"/>
                <c:pt idx="0">
                  <c:v>0</c:v>
                </c:pt>
                <c:pt idx="1">
                  <c:v>0.25714285714285717</c:v>
                </c:pt>
                <c:pt idx="2">
                  <c:v>95.628571428571448</c:v>
                </c:pt>
                <c:pt idx="3">
                  <c:v>331.80000000000007</c:v>
                </c:pt>
                <c:pt idx="4">
                  <c:v>618.68571428571431</c:v>
                </c:pt>
                <c:pt idx="5">
                  <c:v>884.21428571428555</c:v>
                </c:pt>
                <c:pt idx="6">
                  <c:v>1010.9142857142858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987136"/>
        <c:axId val="174997504"/>
      </c:barChart>
      <c:catAx>
        <c:axId val="17498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Années</a:t>
                </a:r>
              </a:p>
            </c:rich>
          </c:tx>
          <c:layout>
            <c:manualLayout>
              <c:xMode val="edge"/>
              <c:yMode val="edge"/>
              <c:x val="0.49217001290292239"/>
              <c:y val="0.8668831379790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99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9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Degrés-jour (10)</a:t>
                </a:r>
              </a:p>
            </c:rich>
          </c:tx>
          <c:layout>
            <c:manualLayout>
              <c:xMode val="edge"/>
              <c:yMode val="edge"/>
              <c:x val="1.23041562693801E-2"/>
              <c:y val="0.327922063487992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498713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847880717038029"/>
          <c:y val="0.95616883394461682"/>
          <c:w val="0.26605696684331032"/>
          <c:h val="3.511315157266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Montérégie-Est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Montérégie-Ouest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Outaouais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horizontalDpi="300" verticalDpi="300" r:id="rId1"/>
  <headerFooter alignWithMargins="0">
    <oddHeader>&amp;C&amp;18Historique accumulation degrés-jour
 Saguenay Lac-st-Jean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Bas St-Laurent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Capitale Nationale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Centre du Québec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Chaudière-Appalaches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Estrie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Lanaudière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Laurentides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1" workbookViewId="0"/>
  </sheetViews>
  <pageMargins left="0.78740157499999996" right="0.78740157499999996" top="0.984251969" bottom="0.984251969" header="0.4921259845" footer="0.4921259845"/>
  <pageSetup orientation="landscape" r:id="rId1"/>
  <headerFooter alignWithMargins="0">
    <oddHeader>&amp;C&amp;18Historique accumulation degrés-jour
Laurentides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09000" cy="585258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0.13408</cdr:x>
      <cdr:y>0.09005</cdr:y>
    </cdr:from>
    <cdr:to>
      <cdr:x>0.41701</cdr:x>
      <cdr:y>0.19915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40883" y="527050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Estrie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0.13266</cdr:x>
      <cdr:y>0.13927</cdr:y>
    </cdr:from>
    <cdr:to>
      <cdr:x>0.41556</cdr:x>
      <cdr:y>0.2484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8904" y="814894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Lanaudière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0.12651</cdr:x>
      <cdr:y>0.14106</cdr:y>
    </cdr:from>
    <cdr:to>
      <cdr:x>0.40941</cdr:x>
      <cdr:y>0.25018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76570" y="825361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Laurentides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0.1548</cdr:x>
      <cdr:y>0.16074</cdr:y>
    </cdr:from>
    <cdr:to>
      <cdr:x>0.4377</cdr:x>
      <cdr:y>0.26986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17311" y="940498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Mauricie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0.15849</cdr:x>
      <cdr:y>0.07666</cdr:y>
    </cdr:from>
    <cdr:to>
      <cdr:x>0.44139</cdr:x>
      <cdr:y>0.18578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48712" y="448547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Montérégie-Est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0.1476</cdr:x>
      <cdr:y>0.0644</cdr:y>
    </cdr:from>
    <cdr:to>
      <cdr:x>0.4305</cdr:x>
      <cdr:y>0.17352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256045" y="376812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Montérégie-Ouest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0.14742</cdr:x>
      <cdr:y>0.08203</cdr:y>
    </cdr:from>
    <cdr:to>
      <cdr:x>0.43032</cdr:x>
      <cdr:y>0.19115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54508" y="479949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Outaouais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0.14004</cdr:x>
      <cdr:y>0.10707</cdr:y>
    </cdr:from>
    <cdr:to>
      <cdr:x>0.45387</cdr:x>
      <cdr:y>0.2162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1707" y="626487"/>
          <a:ext cx="2670628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Saguenay-Lac</a:t>
          </a:r>
          <a:r>
            <a:rPr lang="fr-CA" sz="1800" baseline="0">
              <a:latin typeface="Arial" panose="020B0604020202020204" pitchFamily="34" charset="0"/>
              <a:cs typeface="Arial" panose="020B0604020202020204" pitchFamily="34" charset="0"/>
            </a:rPr>
            <a:t>-St-Jean</a:t>
          </a:r>
          <a:endParaRPr lang="fr-CA" sz="18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83</xdr:row>
      <xdr:rowOff>0</xdr:rowOff>
    </xdr:from>
    <xdr:to>
      <xdr:col>19</xdr:col>
      <xdr:colOff>9525</xdr:colOff>
      <xdr:row>83</xdr:row>
      <xdr:rowOff>9525</xdr:rowOff>
    </xdr:to>
    <xdr:pic>
      <xdr:nvPicPr>
        <xdr:cNvPr id="1100" name="Picture 11" descr="phpMyVisit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656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82</xdr:row>
      <xdr:rowOff>0</xdr:rowOff>
    </xdr:from>
    <xdr:to>
      <xdr:col>19</xdr:col>
      <xdr:colOff>9525</xdr:colOff>
      <xdr:row>82</xdr:row>
      <xdr:rowOff>9525</xdr:rowOff>
    </xdr:to>
    <xdr:pic>
      <xdr:nvPicPr>
        <xdr:cNvPr id="3147" name="Picture 11" descr="phpMyVisit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4900" y="16363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83</xdr:row>
      <xdr:rowOff>0</xdr:rowOff>
    </xdr:from>
    <xdr:to>
      <xdr:col>19</xdr:col>
      <xdr:colOff>9525</xdr:colOff>
      <xdr:row>83</xdr:row>
      <xdr:rowOff>9525</xdr:rowOff>
    </xdr:to>
    <xdr:pic>
      <xdr:nvPicPr>
        <xdr:cNvPr id="16431" name="Picture 11" descr="phpMyVisit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16554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0.15234</cdr:x>
      <cdr:y>0.16968</cdr:y>
    </cdr:from>
    <cdr:to>
      <cdr:x>0.43524</cdr:x>
      <cdr:y>0.27881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96377" y="992833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Bas-St-Laurent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09698" cy="585107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0.15972</cdr:x>
      <cdr:y>0.07845</cdr:y>
    </cdr:from>
    <cdr:to>
      <cdr:x>0.44262</cdr:x>
      <cdr:y>0.18757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59179" y="459014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Capitale Nationale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09000" cy="585258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0.15025</cdr:x>
      <cdr:y>0.14069</cdr:y>
    </cdr:from>
    <cdr:to>
      <cdr:x>0.43317</cdr:x>
      <cdr:y>0.24978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78467" y="823383"/>
          <a:ext cx="2407417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Centre-du-Québec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09000" cy="585258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0.14527</cdr:x>
      <cdr:y>0.16058</cdr:y>
    </cdr:from>
    <cdr:to>
      <cdr:x>0.46393</cdr:x>
      <cdr:y>0.26967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36133" y="939800"/>
          <a:ext cx="2711450" cy="638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Chaudière-Appalaches</a:t>
          </a:r>
        </a:p>
        <a:p xmlns:a="http://schemas.openxmlformats.org/drawingml/2006/main">
          <a:pPr algn="ctr"/>
          <a:r>
            <a:rPr lang="fr-CA" sz="1800">
              <a:latin typeface="Arial" panose="020B0604020202020204" pitchFamily="34" charset="0"/>
              <a:cs typeface="Arial" panose="020B0604020202020204" pitchFamily="34" charset="0"/>
            </a:rPr>
            <a:t>2010  à  2014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lackTie">
      <a:maj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4"/>
  <sheetViews>
    <sheetView topLeftCell="AF28" zoomScaleNormal="75" workbookViewId="0">
      <selection activeCell="AL43" sqref="AL43"/>
    </sheetView>
  </sheetViews>
  <sheetFormatPr baseColWidth="10" defaultRowHeight="12.75" x14ac:dyDescent="0.2"/>
  <cols>
    <col min="1" max="1" width="24.140625" style="31" bestFit="1" customWidth="1"/>
    <col min="2" max="3" width="8.5703125" style="30" bestFit="1" customWidth="1"/>
    <col min="4" max="4" width="9.85546875" style="30" bestFit="1" customWidth="1"/>
    <col min="5" max="5" width="8.5703125" style="57" bestFit="1" customWidth="1"/>
    <col min="6" max="6" width="8.5703125" style="57" customWidth="1"/>
    <col min="7" max="9" width="9.85546875" style="30" bestFit="1" customWidth="1"/>
    <col min="10" max="10" width="9.85546875" style="57" bestFit="1" customWidth="1"/>
    <col min="11" max="11" width="9.85546875" style="57" customWidth="1"/>
    <col min="12" max="14" width="11.5703125" style="30" bestFit="1" customWidth="1"/>
    <col min="15" max="15" width="11.5703125" style="57" bestFit="1" customWidth="1"/>
    <col min="16" max="16" width="11.5703125" style="57" customWidth="1"/>
    <col min="17" max="17" width="24.140625" style="30" bestFit="1" customWidth="1"/>
    <col min="18" max="20" width="11.5703125" style="30" bestFit="1" customWidth="1"/>
    <col min="21" max="21" width="11.5703125" style="57" bestFit="1" customWidth="1"/>
    <col min="22" max="22" width="11.5703125" style="57" customWidth="1"/>
    <col min="23" max="24" width="11.5703125" style="31" bestFit="1" customWidth="1"/>
    <col min="25" max="25" width="13" style="50" bestFit="1" customWidth="1"/>
    <col min="26" max="26" width="11.5703125" style="57" bestFit="1" customWidth="1"/>
    <col min="27" max="27" width="11.5703125" style="57" customWidth="1"/>
    <col min="28" max="29" width="12.42578125" style="31" customWidth="1"/>
    <col min="30" max="30" width="14" style="31" bestFit="1" customWidth="1"/>
    <col min="31" max="32" width="15.42578125" style="57" customWidth="1"/>
    <col min="33" max="33" width="24.140625" style="31" bestFit="1" customWidth="1"/>
    <col min="34" max="35" width="12.42578125" style="31" bestFit="1" customWidth="1"/>
    <col min="36" max="36" width="14" style="50" bestFit="1" customWidth="1"/>
    <col min="37" max="38" width="12.5703125" style="57" customWidth="1"/>
    <col min="39" max="39" width="12.42578125" style="31" customWidth="1"/>
    <col min="40" max="40" width="12.42578125" style="31" bestFit="1" customWidth="1"/>
    <col min="41" max="41" width="14" style="50" bestFit="1" customWidth="1"/>
    <col min="42" max="42" width="11.85546875" style="57" customWidth="1"/>
    <col min="43" max="43" width="12.28515625" style="57" customWidth="1"/>
    <col min="44" max="44" width="12.42578125" style="31" customWidth="1"/>
    <col min="45" max="45" width="12.42578125" style="31" bestFit="1" customWidth="1"/>
    <col min="46" max="46" width="14" style="31" bestFit="1" customWidth="1"/>
    <col min="47" max="47" width="12.42578125" style="57" customWidth="1"/>
    <col min="48" max="49" width="14.28515625" style="197" customWidth="1"/>
    <col min="50" max="50" width="1.5703125" style="31" bestFit="1" customWidth="1"/>
    <col min="51" max="52" width="11.42578125" style="31"/>
    <col min="53" max="53" width="1.5703125" style="31" bestFit="1" customWidth="1"/>
    <col min="54" max="16384" width="11.42578125" style="31"/>
  </cols>
  <sheetData>
    <row r="1" spans="1:53" ht="13.5" thickBot="1" x14ac:dyDescent="0.25"/>
    <row r="2" spans="1:53" s="185" customFormat="1" ht="15.75" customHeight="1" thickBot="1" x14ac:dyDescent="0.35">
      <c r="A2" s="182"/>
      <c r="B2" s="243" t="s">
        <v>1195</v>
      </c>
      <c r="C2" s="244"/>
      <c r="D2" s="244"/>
      <c r="E2" s="244"/>
      <c r="F2" s="245"/>
      <c r="G2" s="240" t="s">
        <v>632</v>
      </c>
      <c r="H2" s="241"/>
      <c r="I2" s="241"/>
      <c r="J2" s="241"/>
      <c r="K2" s="242"/>
      <c r="L2" s="240" t="s">
        <v>633</v>
      </c>
      <c r="M2" s="241"/>
      <c r="N2" s="241"/>
      <c r="O2" s="241"/>
      <c r="P2" s="242"/>
      <c r="Q2" s="183"/>
      <c r="R2" s="240" t="s">
        <v>634</v>
      </c>
      <c r="S2" s="241"/>
      <c r="T2" s="241"/>
      <c r="U2" s="241"/>
      <c r="V2" s="242"/>
      <c r="W2" s="240" t="s">
        <v>635</v>
      </c>
      <c r="X2" s="241"/>
      <c r="Y2" s="241"/>
      <c r="Z2" s="241"/>
      <c r="AA2" s="242"/>
      <c r="AB2" s="240" t="s">
        <v>636</v>
      </c>
      <c r="AC2" s="241"/>
      <c r="AD2" s="241"/>
      <c r="AE2" s="241"/>
      <c r="AF2" s="242"/>
      <c r="AG2" s="184"/>
      <c r="AH2" s="240" t="s">
        <v>637</v>
      </c>
      <c r="AI2" s="241"/>
      <c r="AJ2" s="241"/>
      <c r="AK2" s="241"/>
      <c r="AL2" s="242"/>
      <c r="AM2" s="240" t="s">
        <v>1196</v>
      </c>
      <c r="AN2" s="241"/>
      <c r="AO2" s="241"/>
      <c r="AP2" s="241"/>
      <c r="AQ2" s="242"/>
      <c r="AR2" s="240" t="s">
        <v>1197</v>
      </c>
      <c r="AS2" s="241"/>
      <c r="AT2" s="241"/>
      <c r="AU2" s="241"/>
      <c r="AV2" s="241"/>
      <c r="AW2" s="242"/>
    </row>
    <row r="3" spans="1:53" ht="16.5" x14ac:dyDescent="0.2">
      <c r="A3" s="250" t="s">
        <v>1118</v>
      </c>
      <c r="B3" s="18" t="s">
        <v>1119</v>
      </c>
      <c r="C3" s="19" t="s">
        <v>1119</v>
      </c>
      <c r="D3" s="19" t="s">
        <v>1119</v>
      </c>
      <c r="E3" s="19" t="s">
        <v>1119</v>
      </c>
      <c r="F3" s="19" t="s">
        <v>1119</v>
      </c>
      <c r="G3" s="18" t="s">
        <v>1119</v>
      </c>
      <c r="H3" s="19" t="s">
        <v>1119</v>
      </c>
      <c r="I3" s="19" t="s">
        <v>1119</v>
      </c>
      <c r="J3" s="19" t="s">
        <v>1119</v>
      </c>
      <c r="K3" s="20" t="s">
        <v>1119</v>
      </c>
      <c r="L3" s="19" t="s">
        <v>1119</v>
      </c>
      <c r="M3" s="19" t="s">
        <v>1119</v>
      </c>
      <c r="N3" s="19" t="s">
        <v>1119</v>
      </c>
      <c r="O3" s="19" t="s">
        <v>1119</v>
      </c>
      <c r="P3" s="20" t="s">
        <v>1119</v>
      </c>
      <c r="Q3" s="252" t="s">
        <v>1118</v>
      </c>
      <c r="R3" s="19" t="s">
        <v>1119</v>
      </c>
      <c r="S3" s="19" t="s">
        <v>1119</v>
      </c>
      <c r="T3" s="19" t="s">
        <v>1119</v>
      </c>
      <c r="U3" s="19" t="s">
        <v>1119</v>
      </c>
      <c r="V3" s="20" t="s">
        <v>1119</v>
      </c>
      <c r="W3" s="18" t="s">
        <v>1119</v>
      </c>
      <c r="X3" s="19" t="s">
        <v>1119</v>
      </c>
      <c r="Y3" s="58" t="s">
        <v>1119</v>
      </c>
      <c r="Z3" s="19" t="s">
        <v>1119</v>
      </c>
      <c r="AA3" s="20" t="s">
        <v>1119</v>
      </c>
      <c r="AB3" s="18" t="s">
        <v>1119</v>
      </c>
      <c r="AC3" s="19" t="s">
        <v>1119</v>
      </c>
      <c r="AD3" s="19" t="s">
        <v>1119</v>
      </c>
      <c r="AE3" s="19" t="s">
        <v>1119</v>
      </c>
      <c r="AF3" s="20" t="s">
        <v>1119</v>
      </c>
      <c r="AG3" s="252" t="s">
        <v>1118</v>
      </c>
      <c r="AH3" s="18" t="s">
        <v>1119</v>
      </c>
      <c r="AI3" s="19" t="s">
        <v>1119</v>
      </c>
      <c r="AJ3" s="58" t="s">
        <v>1119</v>
      </c>
      <c r="AK3" s="19" t="s">
        <v>1119</v>
      </c>
      <c r="AL3" s="20" t="s">
        <v>1119</v>
      </c>
      <c r="AM3" s="18" t="s">
        <v>1119</v>
      </c>
      <c r="AN3" s="19" t="s">
        <v>1119</v>
      </c>
      <c r="AO3" s="58" t="s">
        <v>1119</v>
      </c>
      <c r="AP3" s="19" t="s">
        <v>1119</v>
      </c>
      <c r="AQ3" s="20" t="s">
        <v>1119</v>
      </c>
      <c r="AR3" s="18" t="s">
        <v>1119</v>
      </c>
      <c r="AS3" s="19" t="s">
        <v>1119</v>
      </c>
      <c r="AT3" s="19" t="s">
        <v>1119</v>
      </c>
      <c r="AU3" s="19" t="s">
        <v>1119</v>
      </c>
      <c r="AV3" s="20" t="s">
        <v>1119</v>
      </c>
      <c r="AW3" s="202" t="s">
        <v>1119</v>
      </c>
    </row>
    <row r="4" spans="1:53" ht="13.5" customHeight="1" thickBot="1" x14ac:dyDescent="0.35">
      <c r="A4" s="251"/>
      <c r="B4" s="67">
        <v>2010</v>
      </c>
      <c r="C4" s="68">
        <v>2011</v>
      </c>
      <c r="D4" s="68">
        <v>2012</v>
      </c>
      <c r="E4" s="68">
        <v>2013</v>
      </c>
      <c r="F4" s="68">
        <v>2014</v>
      </c>
      <c r="G4" s="67">
        <v>2010</v>
      </c>
      <c r="H4" s="68">
        <v>2011</v>
      </c>
      <c r="I4" s="68">
        <v>2012</v>
      </c>
      <c r="J4" s="68">
        <v>2013</v>
      </c>
      <c r="K4" s="70">
        <v>2014</v>
      </c>
      <c r="L4" s="74">
        <v>2010</v>
      </c>
      <c r="M4" s="68">
        <v>2011</v>
      </c>
      <c r="N4" s="68">
        <v>2012</v>
      </c>
      <c r="O4" s="68">
        <v>2013</v>
      </c>
      <c r="P4" s="70">
        <v>2014</v>
      </c>
      <c r="Q4" s="253"/>
      <c r="R4" s="74">
        <v>2010</v>
      </c>
      <c r="S4" s="68">
        <v>2011</v>
      </c>
      <c r="T4" s="68">
        <v>2012</v>
      </c>
      <c r="U4" s="68">
        <v>2013</v>
      </c>
      <c r="V4" s="198">
        <v>2014</v>
      </c>
      <c r="W4" s="67">
        <v>2010</v>
      </c>
      <c r="X4" s="68">
        <v>2011</v>
      </c>
      <c r="Y4" s="229">
        <v>2012</v>
      </c>
      <c r="Z4" s="68">
        <v>2013</v>
      </c>
      <c r="AA4" s="198">
        <v>2014</v>
      </c>
      <c r="AB4" s="67">
        <v>2010</v>
      </c>
      <c r="AC4" s="68">
        <v>2011</v>
      </c>
      <c r="AD4" s="219">
        <v>2012</v>
      </c>
      <c r="AE4" s="68">
        <v>2013</v>
      </c>
      <c r="AF4" s="198">
        <v>2014</v>
      </c>
      <c r="AG4" s="253"/>
      <c r="AH4" s="67">
        <v>2010</v>
      </c>
      <c r="AI4" s="68">
        <v>2011</v>
      </c>
      <c r="AJ4" s="65">
        <v>2012</v>
      </c>
      <c r="AK4" s="68">
        <v>2013</v>
      </c>
      <c r="AL4" s="198">
        <v>2014</v>
      </c>
      <c r="AM4" s="67">
        <v>2010</v>
      </c>
      <c r="AN4" s="68">
        <v>2011</v>
      </c>
      <c r="AO4" s="65">
        <v>2012</v>
      </c>
      <c r="AP4" s="68">
        <v>2013</v>
      </c>
      <c r="AQ4" s="198">
        <v>2014</v>
      </c>
      <c r="AR4" s="67">
        <v>2010</v>
      </c>
      <c r="AS4" s="68">
        <v>2011</v>
      </c>
      <c r="AT4" s="69">
        <v>2012</v>
      </c>
      <c r="AU4" s="68">
        <v>2013</v>
      </c>
      <c r="AV4" s="198">
        <v>2014</v>
      </c>
      <c r="AW4" s="203">
        <v>2015</v>
      </c>
    </row>
    <row r="5" spans="1:53" ht="16.5" x14ac:dyDescent="0.3">
      <c r="A5" s="24" t="s">
        <v>1120</v>
      </c>
      <c r="B5" s="18"/>
      <c r="C5" s="19"/>
      <c r="D5" s="19"/>
      <c r="E5" s="19"/>
      <c r="F5" s="19"/>
      <c r="G5" s="18"/>
      <c r="H5" s="19"/>
      <c r="I5" s="19"/>
      <c r="J5" s="19"/>
      <c r="K5" s="29"/>
      <c r="L5" s="19"/>
      <c r="M5" s="19"/>
      <c r="N5" s="19"/>
      <c r="O5" s="19"/>
      <c r="P5" s="19"/>
      <c r="Q5" s="24" t="s">
        <v>1120</v>
      </c>
      <c r="R5" s="19"/>
      <c r="S5" s="19"/>
      <c r="T5" s="19"/>
      <c r="U5" s="19"/>
      <c r="V5" s="19"/>
      <c r="W5" s="18"/>
      <c r="X5" s="19"/>
      <c r="Y5" s="230"/>
      <c r="Z5" s="19"/>
      <c r="AA5" s="19"/>
      <c r="AB5" s="18"/>
      <c r="AC5" s="19"/>
      <c r="AD5" s="220"/>
      <c r="AE5" s="25"/>
      <c r="AF5" s="20"/>
      <c r="AG5" s="24" t="s">
        <v>1120</v>
      </c>
      <c r="AH5" s="18"/>
      <c r="AI5" s="19"/>
      <c r="AJ5" s="59"/>
      <c r="AK5" s="19"/>
      <c r="AL5" s="19"/>
      <c r="AM5" s="18"/>
      <c r="AN5" s="19"/>
      <c r="AO5" s="59"/>
      <c r="AP5" s="19"/>
      <c r="AQ5" s="19"/>
      <c r="AR5" s="18"/>
      <c r="AS5" s="19"/>
      <c r="AT5" s="197"/>
      <c r="AU5" s="19"/>
      <c r="AV5" s="199"/>
      <c r="AW5" s="199"/>
    </row>
    <row r="6" spans="1:53" ht="15" x14ac:dyDescent="0.3">
      <c r="A6" s="27" t="s">
        <v>1121</v>
      </c>
      <c r="B6" s="21" t="s">
        <v>880</v>
      </c>
      <c r="C6" s="22" t="s">
        <v>880</v>
      </c>
      <c r="D6" s="22" t="s">
        <v>541</v>
      </c>
      <c r="E6" s="22" t="str">
        <f>'2013'!C11</f>
        <v>0,0 (0,0)</v>
      </c>
      <c r="F6" s="22" t="str">
        <f>'2014'!$C11</f>
        <v>0,0 (0,0)</v>
      </c>
      <c r="G6" s="21" t="s">
        <v>881</v>
      </c>
      <c r="H6" s="22" t="s">
        <v>880</v>
      </c>
      <c r="I6" s="22" t="s">
        <v>542</v>
      </c>
      <c r="J6" s="22" t="str">
        <f>'2013'!$E11</f>
        <v>0,0 (0,0)</v>
      </c>
      <c r="K6" s="23" t="str">
        <f>'2014'!$E11</f>
        <v>0,0 (0,0)</v>
      </c>
      <c r="L6" s="22" t="s">
        <v>882</v>
      </c>
      <c r="M6" s="22" t="s">
        <v>639</v>
      </c>
      <c r="N6" s="22" t="s">
        <v>543</v>
      </c>
      <c r="O6" s="22" t="str">
        <f>'2013'!$G$11</f>
        <v>34,5 (+22,0)</v>
      </c>
      <c r="P6" s="22" t="str">
        <f>'2014'!$G$11</f>
        <v>32,8  (+21,8)</v>
      </c>
      <c r="Q6" s="27" t="s">
        <v>1121</v>
      </c>
      <c r="R6" s="22" t="s">
        <v>883</v>
      </c>
      <c r="S6" s="22" t="s">
        <v>640</v>
      </c>
      <c r="T6" s="56" t="s">
        <v>1164</v>
      </c>
      <c r="U6" s="22" t="str">
        <f>'2013'!$I11</f>
        <v>127,5 (-28,4)</v>
      </c>
      <c r="V6" s="22" t="str">
        <f>'2014'!$I11</f>
        <v>223,5 (+73,7)</v>
      </c>
      <c r="W6" s="21" t="s">
        <v>884</v>
      </c>
      <c r="X6" s="22" t="s">
        <v>641</v>
      </c>
      <c r="Y6" s="230" t="str">
        <f>'2012'!K11</f>
        <v>508.2 (+119.6)</v>
      </c>
      <c r="Z6" s="22" t="str">
        <f>'2013'!$K11</f>
        <v>388,9 (+0,3)</v>
      </c>
      <c r="AA6" s="22" t="str">
        <f>'2014'!$K11</f>
        <v>525,6 (+151)</v>
      </c>
      <c r="AB6" s="21" t="s">
        <v>885</v>
      </c>
      <c r="AC6" s="22" t="s">
        <v>642</v>
      </c>
      <c r="AD6" s="220" t="str">
        <f>'2013'!M11</f>
        <v>604,9 (+28,2)</v>
      </c>
      <c r="AE6" s="22" t="str">
        <f>'2013'!$M11</f>
        <v>604,9 (+28,2)</v>
      </c>
      <c r="AF6" s="23" t="str">
        <f>'2014'!$M11</f>
        <v>773,4 (+215,6)</v>
      </c>
      <c r="AG6" s="27" t="s">
        <v>1121</v>
      </c>
      <c r="AH6" s="21" t="s">
        <v>886</v>
      </c>
      <c r="AI6" s="22" t="s">
        <v>643</v>
      </c>
      <c r="AJ6" s="66" t="s">
        <v>1263</v>
      </c>
      <c r="AK6" s="22" t="str">
        <f>'2013'!$O11</f>
        <v>685,4 (+66,6)</v>
      </c>
      <c r="AL6" s="22" t="str">
        <f>'2014'!$O11</f>
        <v>885,2 (+286,5)</v>
      </c>
      <c r="AM6" s="21" t="s">
        <v>887</v>
      </c>
      <c r="AN6" s="22" t="s">
        <v>644</v>
      </c>
      <c r="AO6" s="59" t="str">
        <f>'2012'!Q11</f>
        <v>887.7 (+268.9)</v>
      </c>
      <c r="AP6" s="22" t="str">
        <f>'2013'!$Q11</f>
        <v>712,7 (+93,9)</v>
      </c>
      <c r="AQ6" s="22">
        <f>'2014'!$Q11</f>
        <v>0</v>
      </c>
      <c r="AR6" s="21" t="s">
        <v>887</v>
      </c>
      <c r="AS6" s="22" t="s">
        <v>644</v>
      </c>
      <c r="AT6" s="59" t="str">
        <f>'2012'!S11</f>
        <v>887.9 (+269.1)</v>
      </c>
      <c r="AU6" s="22" t="str">
        <f>'2013'!$S11</f>
        <v>712,7 (+93,9)</v>
      </c>
      <c r="AV6" s="23">
        <f>'2014'!$S11</f>
        <v>0</v>
      </c>
      <c r="AW6" s="23">
        <f>'2015'!$S11</f>
        <v>0</v>
      </c>
    </row>
    <row r="7" spans="1:53" ht="17.25" thickBot="1" x14ac:dyDescent="0.35">
      <c r="A7" s="36" t="s">
        <v>1446</v>
      </c>
      <c r="B7" s="40">
        <v>0</v>
      </c>
      <c r="C7" s="41">
        <v>0</v>
      </c>
      <c r="D7" s="41">
        <v>10.4</v>
      </c>
      <c r="E7" s="41">
        <f>'2013'!$B12</f>
        <v>0</v>
      </c>
      <c r="F7" s="41">
        <f>'2014'!$B12</f>
        <v>0</v>
      </c>
      <c r="G7" s="40">
        <v>0.5</v>
      </c>
      <c r="H7" s="41">
        <v>0</v>
      </c>
      <c r="I7" s="41">
        <v>14.3</v>
      </c>
      <c r="J7" s="41">
        <f>'2013'!$D12</f>
        <v>0</v>
      </c>
      <c r="K7" s="39">
        <f>'2014'!$D12</f>
        <v>0</v>
      </c>
      <c r="L7" s="41">
        <v>86.5</v>
      </c>
      <c r="M7" s="41">
        <v>31.8</v>
      </c>
      <c r="N7" s="41">
        <v>83.5</v>
      </c>
      <c r="O7" s="41">
        <f>'2013'!$F12</f>
        <v>34.5</v>
      </c>
      <c r="P7" s="41">
        <f>'2014'!$F12</f>
        <v>32.799999999999997</v>
      </c>
      <c r="Q7" s="36" t="s">
        <v>1162</v>
      </c>
      <c r="R7" s="41">
        <v>239.9</v>
      </c>
      <c r="S7" s="41">
        <v>131</v>
      </c>
      <c r="T7" s="41">
        <v>235.3</v>
      </c>
      <c r="U7" s="41">
        <f>'2013'!$H12</f>
        <v>127.5</v>
      </c>
      <c r="V7" s="41">
        <f>'2014'!$H12</f>
        <v>223.5</v>
      </c>
      <c r="W7" s="37">
        <v>515.79999999999995</v>
      </c>
      <c r="X7" s="38">
        <v>403.6</v>
      </c>
      <c r="Y7" s="231">
        <f>'2012'!J12</f>
        <v>508</v>
      </c>
      <c r="Z7" s="41">
        <f>'2013'!$J12</f>
        <v>388.9</v>
      </c>
      <c r="AA7" s="41">
        <f>'2014'!$J12</f>
        <v>525.6</v>
      </c>
      <c r="AB7" s="37">
        <v>772.7</v>
      </c>
      <c r="AC7" s="38">
        <v>622.70000000000005</v>
      </c>
      <c r="AD7" s="221">
        <f>'2012'!L12</f>
        <v>762.4</v>
      </c>
      <c r="AE7" s="41">
        <f>'2013'!$L12</f>
        <v>604.9</v>
      </c>
      <c r="AF7" s="39">
        <f>'2014'!$L12</f>
        <v>773.4</v>
      </c>
      <c r="AG7" s="36" t="s">
        <v>1162</v>
      </c>
      <c r="AH7" s="37">
        <v>859.6</v>
      </c>
      <c r="AI7" s="38">
        <v>744.6</v>
      </c>
      <c r="AJ7" s="63">
        <v>872.3</v>
      </c>
      <c r="AK7" s="41">
        <f>'2013'!$N12</f>
        <v>685.4</v>
      </c>
      <c r="AL7" s="41">
        <f>'2014'!$N12</f>
        <v>885.2</v>
      </c>
      <c r="AM7" s="37">
        <v>863.1</v>
      </c>
      <c r="AN7" s="38">
        <v>767.3</v>
      </c>
      <c r="AO7" s="63">
        <f>'2012'!P12</f>
        <v>887.7</v>
      </c>
      <c r="AP7" s="41">
        <f>'2013'!$P12</f>
        <v>712.7</v>
      </c>
      <c r="AQ7" s="41" t="e">
        <f>'2014'!$P12</f>
        <v>#DIV/0!</v>
      </c>
      <c r="AR7" s="37">
        <v>863.1</v>
      </c>
      <c r="AS7" s="38">
        <v>767.3</v>
      </c>
      <c r="AT7" s="63">
        <f>'2012'!R12</f>
        <v>887.9</v>
      </c>
      <c r="AU7" s="41">
        <f>'2013'!$R12</f>
        <v>712.7</v>
      </c>
      <c r="AV7" s="39" t="e">
        <f>'2014'!$R12</f>
        <v>#DIV/0!</v>
      </c>
      <c r="AW7" s="39" t="e">
        <f>'2015'!$R12</f>
        <v>#DIV/0!</v>
      </c>
    </row>
    <row r="8" spans="1:53" ht="16.5" x14ac:dyDescent="0.3">
      <c r="A8" s="24" t="s">
        <v>1123</v>
      </c>
      <c r="B8" s="28"/>
      <c r="C8" s="25"/>
      <c r="D8" s="25"/>
      <c r="E8" s="25"/>
      <c r="F8" s="25"/>
      <c r="G8" s="28"/>
      <c r="H8" s="25"/>
      <c r="I8" s="25"/>
      <c r="J8" s="25"/>
      <c r="K8" s="29"/>
      <c r="L8" s="25"/>
      <c r="M8" s="25"/>
      <c r="N8" s="25"/>
      <c r="O8" s="25"/>
      <c r="P8" s="25"/>
      <c r="Q8" s="24" t="s">
        <v>1123</v>
      </c>
      <c r="R8" s="25"/>
      <c r="S8" s="25"/>
      <c r="T8" s="25"/>
      <c r="U8" s="25"/>
      <c r="V8" s="25"/>
      <c r="W8" s="28"/>
      <c r="X8" s="25"/>
      <c r="Y8" s="232"/>
      <c r="Z8" s="25"/>
      <c r="AA8" s="25"/>
      <c r="AB8" s="28"/>
      <c r="AC8" s="25"/>
      <c r="AD8" s="222"/>
      <c r="AE8" s="25"/>
      <c r="AF8" s="29"/>
      <c r="AG8" s="24" t="s">
        <v>1123</v>
      </c>
      <c r="AH8" s="28"/>
      <c r="AI8" s="25"/>
      <c r="AJ8" s="60"/>
      <c r="AK8" s="25"/>
      <c r="AL8" s="25"/>
      <c r="AM8" s="28"/>
      <c r="AN8" s="25"/>
      <c r="AO8" s="60"/>
      <c r="AP8" s="25"/>
      <c r="AQ8" s="25"/>
      <c r="AR8" s="28"/>
      <c r="AS8" s="25"/>
      <c r="AT8" s="60"/>
      <c r="AU8" s="25"/>
      <c r="AV8" s="199"/>
      <c r="AW8" s="199"/>
      <c r="AX8" s="31" t="s">
        <v>1338</v>
      </c>
    </row>
    <row r="9" spans="1:53" ht="15" x14ac:dyDescent="0.3">
      <c r="A9" s="27" t="s">
        <v>1124</v>
      </c>
      <c r="B9" s="21" t="s">
        <v>880</v>
      </c>
      <c r="C9" s="22" t="s">
        <v>880</v>
      </c>
      <c r="D9" s="22" t="s">
        <v>544</v>
      </c>
      <c r="E9" s="22" t="str">
        <f>'2013'!C14</f>
        <v>0,0 (0,0)</v>
      </c>
      <c r="F9" s="22" t="str">
        <f>'2014'!$C14</f>
        <v>0,0 (0,0)</v>
      </c>
      <c r="G9" s="21" t="s">
        <v>888</v>
      </c>
      <c r="H9" s="22" t="s">
        <v>880</v>
      </c>
      <c r="I9" s="22" t="s">
        <v>545</v>
      </c>
      <c r="J9" s="22" t="str">
        <f>'2013'!$E14</f>
        <v>0,2 (+0,2)</v>
      </c>
      <c r="K9" s="23" t="str">
        <f>'2014'!$E14</f>
        <v>0,0 (0,0)</v>
      </c>
      <c r="L9" s="22" t="s">
        <v>889</v>
      </c>
      <c r="M9" s="22" t="s">
        <v>645</v>
      </c>
      <c r="N9" s="22" t="s">
        <v>546</v>
      </c>
      <c r="O9" s="22" t="str">
        <f>'2013'!$G14</f>
        <v>71,7 (+40,2)</v>
      </c>
      <c r="P9" s="22" t="str">
        <f>'2014'!$G14</f>
        <v>65,3  (+38,7)</v>
      </c>
      <c r="Q9" s="27" t="s">
        <v>1124</v>
      </c>
      <c r="R9" s="22" t="s">
        <v>890</v>
      </c>
      <c r="S9" s="22" t="s">
        <v>646</v>
      </c>
      <c r="T9" s="56" t="s">
        <v>1165</v>
      </c>
      <c r="U9" s="22" t="str">
        <f>'2013'!$I14</f>
        <v>225,8 (+24,0)</v>
      </c>
      <c r="V9" s="22" t="str">
        <f>'2014'!$I14</f>
        <v>294,3 (+107,0)</v>
      </c>
      <c r="W9" s="21" t="s">
        <v>891</v>
      </c>
      <c r="X9" s="22" t="s">
        <v>647</v>
      </c>
      <c r="Y9" s="230" t="str">
        <f>'2012'!K14</f>
        <v>653.5 (+191.3)</v>
      </c>
      <c r="Z9" s="22" t="str">
        <f>'2013'!$K14</f>
        <v>540,3 (+78,1)</v>
      </c>
      <c r="AA9" s="22" t="str">
        <f>'2014'!$K14</f>
        <v>614,4 (+177,9)</v>
      </c>
      <c r="AB9" s="21" t="s">
        <v>892</v>
      </c>
      <c r="AC9" s="22" t="s">
        <v>648</v>
      </c>
      <c r="AD9" s="220" t="str">
        <f>'2012'!M14</f>
        <v>963,8 (+284,3)</v>
      </c>
      <c r="AE9" s="22" t="str">
        <f>'2013'!$M14</f>
        <v>805,2 (+125,6)</v>
      </c>
      <c r="AF9" s="23" t="str">
        <f>'2014'!$M14</f>
        <v>904,9 (+260,3)</v>
      </c>
      <c r="AG9" s="27" t="s">
        <v>1124</v>
      </c>
      <c r="AH9" s="21" t="s">
        <v>893</v>
      </c>
      <c r="AI9" s="22" t="s">
        <v>649</v>
      </c>
      <c r="AJ9" s="66" t="s">
        <v>1264</v>
      </c>
      <c r="AK9" s="22" t="str">
        <f>'2013'!$O14</f>
        <v>916,5 (+174,8)</v>
      </c>
      <c r="AL9" s="22" t="str">
        <f>'2014'!$O14</f>
        <v>1043,1(+341,5)</v>
      </c>
      <c r="AM9" s="21" t="s">
        <v>894</v>
      </c>
      <c r="AN9" s="22" t="s">
        <v>650</v>
      </c>
      <c r="AO9" s="59" t="str">
        <f>'2012'!Q14</f>
        <v>1135.1 (+393.4)</v>
      </c>
      <c r="AP9" s="22" t="str">
        <f>'2013'!$Q14</f>
        <v>946,1 (+204,5)</v>
      </c>
      <c r="AQ9" s="22">
        <f>'2014'!$Q14</f>
        <v>0</v>
      </c>
      <c r="AR9" s="21" t="s">
        <v>894</v>
      </c>
      <c r="AS9" s="22" t="s">
        <v>650</v>
      </c>
      <c r="AT9" s="59" t="str">
        <f>'2012'!S14</f>
        <v>1135.1 (+393.4)</v>
      </c>
      <c r="AU9" s="22" t="str">
        <f>'2013'!$S14</f>
        <v>942,9 (+201,3)</v>
      </c>
      <c r="AV9" s="23">
        <f>'2014'!$S14</f>
        <v>0</v>
      </c>
      <c r="AW9" s="23">
        <f>'2015'!$S14</f>
        <v>0</v>
      </c>
    </row>
    <row r="10" spans="1:53" ht="15" x14ac:dyDescent="0.3">
      <c r="A10" s="27" t="s">
        <v>1125</v>
      </c>
      <c r="B10" s="21" t="s">
        <v>880</v>
      </c>
      <c r="C10" s="22" t="s">
        <v>880</v>
      </c>
      <c r="D10" s="22" t="s">
        <v>547</v>
      </c>
      <c r="E10" s="22" t="str">
        <f>'2013'!C15</f>
        <v>0,0 (0,0)</v>
      </c>
      <c r="F10" s="22" t="str">
        <f>'2014'!$C15</f>
        <v>0,0 (0,0)</v>
      </c>
      <c r="G10" s="21" t="s">
        <v>895</v>
      </c>
      <c r="H10" s="22" t="s">
        <v>880</v>
      </c>
      <c r="I10" s="22" t="s">
        <v>548</v>
      </c>
      <c r="J10" s="22" t="str">
        <f>'2013'!$E15</f>
        <v>1,5 (+1,5)</v>
      </c>
      <c r="K10" s="23" t="str">
        <f>'2014'!$E15</f>
        <v>0,0 (0,0)</v>
      </c>
      <c r="L10" s="22" t="s">
        <v>896</v>
      </c>
      <c r="M10" s="22" t="s">
        <v>651</v>
      </c>
      <c r="N10" s="22" t="s">
        <v>549</v>
      </c>
      <c r="O10" s="22" t="str">
        <f>'2013'!$G15</f>
        <v>84,3 (+57,4)</v>
      </c>
      <c r="P10" s="22" t="str">
        <f>'2014'!$G15</f>
        <v>66,8  (+26,5)</v>
      </c>
      <c r="Q10" s="27" t="s">
        <v>1125</v>
      </c>
      <c r="R10" s="22" t="s">
        <v>897</v>
      </c>
      <c r="S10" s="22" t="s">
        <v>652</v>
      </c>
      <c r="T10" s="56" t="s">
        <v>1166</v>
      </c>
      <c r="U10" s="22" t="str">
        <f>'2013'!$I15</f>
        <v>241,3 (+56,8)</v>
      </c>
      <c r="V10" s="22" t="str">
        <f>'2014'!$I15</f>
        <v>304,5 (+81,7)</v>
      </c>
      <c r="W10" s="21" t="s">
        <v>898</v>
      </c>
      <c r="X10" s="22" t="s">
        <v>653</v>
      </c>
      <c r="Y10" s="230" t="str">
        <f>'2012'!K15</f>
        <v>671.7 (+243.7)</v>
      </c>
      <c r="Z10" s="22" t="str">
        <f>'2013'!$K15</f>
        <v>576,0 (+148,0)</v>
      </c>
      <c r="AA10" s="22" t="str">
        <f>'2014'!$K15</f>
        <v>621,7 (+127,1)</v>
      </c>
      <c r="AB10" s="21" t="s">
        <v>899</v>
      </c>
      <c r="AC10" s="22" t="s">
        <v>654</v>
      </c>
      <c r="AD10" s="220" t="str">
        <f>'2012'!M15</f>
        <v>988,6 (+360,9)</v>
      </c>
      <c r="AE10" s="22" t="str">
        <f>'2013'!$M15</f>
        <v>844,5 (+216,9)</v>
      </c>
      <c r="AF10" s="23" t="str">
        <f>'2014'!$M15</f>
        <v>904,7 (+179,5)</v>
      </c>
      <c r="AG10" s="27" t="s">
        <v>1125</v>
      </c>
      <c r="AH10" s="21" t="s">
        <v>900</v>
      </c>
      <c r="AI10" s="22" t="s">
        <v>655</v>
      </c>
      <c r="AJ10" s="66" t="s">
        <v>1265</v>
      </c>
      <c r="AK10" s="22" t="str">
        <f>'2013'!$O15</f>
        <v>957,1 (+279,7)</v>
      </c>
      <c r="AL10" s="22" t="str">
        <f>'2014'!$O15</f>
        <v>1041,0 (+244,2)</v>
      </c>
      <c r="AM10" s="21" t="s">
        <v>901</v>
      </c>
      <c r="AN10" s="22" t="s">
        <v>656</v>
      </c>
      <c r="AO10" s="59" t="str">
        <f>'2012'!Q15</f>
        <v>1146.8 (+469.4)</v>
      </c>
      <c r="AP10" s="22" t="str">
        <f>'2013'!$Q15</f>
        <v>994,1 (+316,7)</v>
      </c>
      <c r="AQ10" s="22">
        <f>'2014'!$Q15</f>
        <v>0</v>
      </c>
      <c r="AR10" s="21" t="s">
        <v>901</v>
      </c>
      <c r="AS10" s="22" t="s">
        <v>656</v>
      </c>
      <c r="AT10" s="59" t="str">
        <f>'2012'!S15</f>
        <v>1146.8 (+469.4)</v>
      </c>
      <c r="AU10" s="22" t="str">
        <f>'2013'!$S15</f>
        <v>995,6 (+318,2)</v>
      </c>
      <c r="AV10" s="23">
        <f>'2014'!$S15</f>
        <v>0</v>
      </c>
      <c r="AW10" s="23">
        <f>'2015'!$S15</f>
        <v>0</v>
      </c>
    </row>
    <row r="11" spans="1:53" ht="15" x14ac:dyDescent="0.3">
      <c r="A11" s="27" t="s">
        <v>902</v>
      </c>
      <c r="B11" s="21" t="s">
        <v>880</v>
      </c>
      <c r="C11" s="22" t="s">
        <v>880</v>
      </c>
      <c r="D11" s="22" t="s">
        <v>550</v>
      </c>
      <c r="E11" s="22" t="str">
        <f>'2013'!C16</f>
        <v>0,0 (0,0)</v>
      </c>
      <c r="F11" s="22" t="str">
        <f>'2014'!$C16</f>
        <v>0,0 (0,0)</v>
      </c>
      <c r="G11" s="21" t="s">
        <v>903</v>
      </c>
      <c r="H11" s="22" t="s">
        <v>881</v>
      </c>
      <c r="I11" s="22" t="s">
        <v>551</v>
      </c>
      <c r="J11" s="22" t="str">
        <f>'2013'!$E16</f>
        <v>2,0 (+2,0)</v>
      </c>
      <c r="K11" s="23" t="str">
        <f>'2014'!$E16</f>
        <v>0,0 (0,0)</v>
      </c>
      <c r="L11" s="22" t="s">
        <v>904</v>
      </c>
      <c r="M11" s="22" t="s">
        <v>657</v>
      </c>
      <c r="N11" s="22" t="s">
        <v>552</v>
      </c>
      <c r="O11" s="22" t="str">
        <f>'2013'!$G16</f>
        <v>90,3 (+55,3)</v>
      </c>
      <c r="P11" s="22">
        <f>'2014'!$G16</f>
        <v>0</v>
      </c>
      <c r="Q11" s="27" t="s">
        <v>902</v>
      </c>
      <c r="R11" s="22" t="s">
        <v>905</v>
      </c>
      <c r="S11" s="22" t="s">
        <v>658</v>
      </c>
      <c r="T11" s="56" t="s">
        <v>1167</v>
      </c>
      <c r="U11" s="22" t="str">
        <f>'2013'!$I16</f>
        <v>258,5 (+48,2)</v>
      </c>
      <c r="V11" s="22" t="str">
        <f>'2014'!$I16</f>
        <v>310,3 (+72,3)</v>
      </c>
      <c r="W11" s="21" t="s">
        <v>906</v>
      </c>
      <c r="X11" s="22" t="s">
        <v>659</v>
      </c>
      <c r="Y11" s="230" t="str">
        <f>'2012'!K16</f>
        <v>739.0 (+263.2)</v>
      </c>
      <c r="Z11" s="22" t="str">
        <f>'2013'!$K16</f>
        <v>604,5 (+128,6)</v>
      </c>
      <c r="AA11" s="22" t="str">
        <f>'2014'!$K16</f>
        <v>645,1 (+121,3)</v>
      </c>
      <c r="AB11" s="21" t="s">
        <v>907</v>
      </c>
      <c r="AC11" s="22" t="s">
        <v>660</v>
      </c>
      <c r="AD11" s="220" t="str">
        <f>'2012'!M16</f>
        <v>1076,6 (+378,4)</v>
      </c>
      <c r="AE11" s="22" t="str">
        <f>'2013'!$M16</f>
        <v>871,7 (+173,5)</v>
      </c>
      <c r="AF11" s="23" t="str">
        <f>'2014'!$M16</f>
        <v>932,2 (+162,5)</v>
      </c>
      <c r="AG11" s="27" t="s">
        <v>902</v>
      </c>
      <c r="AH11" s="21" t="s">
        <v>908</v>
      </c>
      <c r="AI11" s="22" t="s">
        <v>661</v>
      </c>
      <c r="AJ11" s="66" t="s">
        <v>1266</v>
      </c>
      <c r="AK11" s="22" t="str">
        <f>'2013'!$O16</f>
        <v>992,2 (+229,0)</v>
      </c>
      <c r="AL11" s="22" t="str">
        <f>'2014'!$O16</f>
        <v>1076,0 (+221,1)</v>
      </c>
      <c r="AM11" s="21" t="s">
        <v>909</v>
      </c>
      <c r="AN11" s="22" t="s">
        <v>662</v>
      </c>
      <c r="AO11" s="59" t="str">
        <f>'2012'!Q16</f>
        <v>1261.7 (+498.6)</v>
      </c>
      <c r="AP11" s="22" t="str">
        <f>'2013'!$Q16</f>
        <v>1034,3 (+271,2)</v>
      </c>
      <c r="AQ11" s="22">
        <f>'2014'!$Q16</f>
        <v>0</v>
      </c>
      <c r="AR11" s="21" t="s">
        <v>909</v>
      </c>
      <c r="AS11" s="22" t="s">
        <v>663</v>
      </c>
      <c r="AT11" s="59" t="str">
        <f>'2012'!S16</f>
        <v>1261.7 (+498.6)</v>
      </c>
      <c r="AU11" s="22" t="str">
        <f>'2013'!$S16</f>
        <v>1035,8 (+272,6)</v>
      </c>
      <c r="AV11" s="23">
        <f>'2014'!$S16</f>
        <v>0</v>
      </c>
      <c r="AW11" s="23">
        <f>'2015'!$S16</f>
        <v>0</v>
      </c>
    </row>
    <row r="12" spans="1:53" ht="17.25" thickBot="1" x14ac:dyDescent="0.35">
      <c r="A12" s="32" t="s">
        <v>1447</v>
      </c>
      <c r="B12" s="33">
        <v>0</v>
      </c>
      <c r="C12" s="34">
        <v>0</v>
      </c>
      <c r="D12" s="43">
        <f>(2.7+2+5.7)/3</f>
        <v>3.4666666666666668</v>
      </c>
      <c r="E12" s="43">
        <f>'2013'!$B17</f>
        <v>0</v>
      </c>
      <c r="F12" s="43">
        <f>'2014'!$B17</f>
        <v>0</v>
      </c>
      <c r="G12" s="42">
        <f>(8.3+9.1+17.8)/3</f>
        <v>11.733333333333334</v>
      </c>
      <c r="H12" s="43">
        <f>(0+0+0.5)/3</f>
        <v>0.16666666666666666</v>
      </c>
      <c r="I12" s="43">
        <f>(17.9+18+25)/3</f>
        <v>20.3</v>
      </c>
      <c r="J12" s="43">
        <f>'2013'!$D17</f>
        <v>1.2333333333333334</v>
      </c>
      <c r="K12" s="44">
        <f>'2014'!$D17</f>
        <v>0</v>
      </c>
      <c r="L12" s="43">
        <f>(120.6+131.6+159.2)/3</f>
        <v>137.13333333333333</v>
      </c>
      <c r="M12" s="34">
        <f>(58.2+57.8+59.5)/3</f>
        <v>58.5</v>
      </c>
      <c r="N12" s="43">
        <f>(123.6+122.5+150.7)/3</f>
        <v>132.26666666666665</v>
      </c>
      <c r="O12" s="43">
        <f>'2013'!$F17</f>
        <v>82.100000000000009</v>
      </c>
      <c r="P12" s="43">
        <f>'2014'!$F17</f>
        <v>66.05</v>
      </c>
      <c r="Q12" s="32" t="s">
        <v>1162</v>
      </c>
      <c r="R12" s="34">
        <f>(321.9+336.1+385.4)/3</f>
        <v>347.8</v>
      </c>
      <c r="S12" s="43">
        <f>(236.9+249.6+260.6)/3</f>
        <v>249.03333333333333</v>
      </c>
      <c r="T12" s="43">
        <f>(333.1+348.7+391.9)/3</f>
        <v>357.89999999999992</v>
      </c>
      <c r="U12" s="43">
        <f>'2013'!$H17</f>
        <v>241.86666666666667</v>
      </c>
      <c r="V12" s="43">
        <f>'2014'!$H17</f>
        <v>303.0333333333333</v>
      </c>
      <c r="W12" s="42">
        <f>(665+693.6+766.5)/3</f>
        <v>708.36666666666667</v>
      </c>
      <c r="X12" s="43">
        <f>(572.4+581.4+614.9)/3</f>
        <v>589.56666666666661</v>
      </c>
      <c r="Y12" s="233">
        <f>'2012'!J17</f>
        <v>688.06666666666661</v>
      </c>
      <c r="Z12" s="43">
        <f>'2013'!$J17</f>
        <v>573.6</v>
      </c>
      <c r="AA12" s="43">
        <f>'2014'!$J17</f>
        <v>627.06666666666661</v>
      </c>
      <c r="AB12" s="42">
        <f>(971.1+982.6+1088.7)/3</f>
        <v>1014.1333333333333</v>
      </c>
      <c r="AC12" s="43">
        <f>(844+859.6+909)/3</f>
        <v>870.86666666666667</v>
      </c>
      <c r="AD12" s="223">
        <f>'2012'!L17</f>
        <v>976.2</v>
      </c>
      <c r="AE12" s="43">
        <f>'2013'!$L17</f>
        <v>840.4666666666667</v>
      </c>
      <c r="AF12" s="44">
        <f>'2014'!$L17</f>
        <v>913.93333333333339</v>
      </c>
      <c r="AG12" s="32" t="s">
        <v>1162</v>
      </c>
      <c r="AH12" s="42">
        <f>(1097.9+1100.1+1225.1)/3</f>
        <v>1141.0333333333333</v>
      </c>
      <c r="AI12" s="43">
        <f>(1017.5+1021.2+1101.3)/3</f>
        <v>1046.6666666666667</v>
      </c>
      <c r="AJ12" s="61">
        <v>1117.6500000000001</v>
      </c>
      <c r="AK12" s="43">
        <f>'2013'!$N17</f>
        <v>955.26666666666677</v>
      </c>
      <c r="AL12" s="43">
        <f>'2014'!$N17</f>
        <v>1053.3333333333333</v>
      </c>
      <c r="AM12" s="42">
        <f>(1109.2+1108.6+1236.8)/3</f>
        <v>1151.5333333333335</v>
      </c>
      <c r="AN12" s="43">
        <f>(1047.5+1047.8+1131.9)/3</f>
        <v>1075.7333333333333</v>
      </c>
      <c r="AO12" s="64">
        <f>'2012'!P17</f>
        <v>1181.1999999999998</v>
      </c>
      <c r="AP12" s="43">
        <f>'2013'!$P17</f>
        <v>991.5</v>
      </c>
      <c r="AQ12" s="43" t="e">
        <f>'2014'!$P17</f>
        <v>#DIV/0!</v>
      </c>
      <c r="AR12" s="42">
        <f>(1109.2+1108.6+1236.8)/3</f>
        <v>1151.5333333333335</v>
      </c>
      <c r="AS12" s="43">
        <f>(1047.5+1047.8+1132.2)/3</f>
        <v>1075.8333333333333</v>
      </c>
      <c r="AT12" s="64">
        <f>'2012'!P17</f>
        <v>1181.1999999999998</v>
      </c>
      <c r="AU12" s="43">
        <f>'2013'!$R17</f>
        <v>992.76666666666677</v>
      </c>
      <c r="AV12" s="44" t="e">
        <f>'2014'!$R17</f>
        <v>#DIV/0!</v>
      </c>
      <c r="AW12" s="44" t="e">
        <f>'2015'!$R17</f>
        <v>#DIV/0!</v>
      </c>
    </row>
    <row r="13" spans="1:53" ht="16.5" x14ac:dyDescent="0.3">
      <c r="A13" s="26" t="s">
        <v>1126</v>
      </c>
      <c r="B13" s="18"/>
      <c r="C13" s="19"/>
      <c r="D13" s="19"/>
      <c r="E13" s="19"/>
      <c r="F13" s="19"/>
      <c r="G13" s="18"/>
      <c r="H13" s="19"/>
      <c r="I13" s="19"/>
      <c r="J13" s="19"/>
      <c r="K13" s="20"/>
      <c r="L13" s="19"/>
      <c r="M13" s="19"/>
      <c r="N13" s="19"/>
      <c r="O13" s="19"/>
      <c r="P13" s="19"/>
      <c r="Q13" s="26" t="s">
        <v>1126</v>
      </c>
      <c r="R13" s="19"/>
      <c r="S13" s="19"/>
      <c r="T13" s="19"/>
      <c r="U13" s="19"/>
      <c r="V13" s="19"/>
      <c r="W13" s="18"/>
      <c r="X13" s="19"/>
      <c r="Y13" s="230"/>
      <c r="Z13" s="19"/>
      <c r="AA13" s="19"/>
      <c r="AB13" s="18"/>
      <c r="AC13" s="19"/>
      <c r="AD13" s="220"/>
      <c r="AE13" s="19"/>
      <c r="AF13" s="20"/>
      <c r="AG13" s="26" t="s">
        <v>1126</v>
      </c>
      <c r="AH13" s="18"/>
      <c r="AI13" s="19"/>
      <c r="AJ13" s="59"/>
      <c r="AK13" s="19"/>
      <c r="AL13" s="19"/>
      <c r="AM13" s="18"/>
      <c r="AN13" s="19"/>
      <c r="AO13" s="59"/>
      <c r="AP13" s="19"/>
      <c r="AQ13" s="19"/>
      <c r="AR13" s="18"/>
      <c r="AS13" s="19"/>
      <c r="AT13" s="59"/>
      <c r="AU13" s="19"/>
      <c r="AV13" s="196"/>
      <c r="AW13" s="196"/>
    </row>
    <row r="14" spans="1:53" ht="15" x14ac:dyDescent="0.3">
      <c r="A14" s="27" t="s">
        <v>1127</v>
      </c>
      <c r="B14" s="21" t="s">
        <v>880</v>
      </c>
      <c r="C14" s="22" t="s">
        <v>880</v>
      </c>
      <c r="D14" s="22" t="s">
        <v>553</v>
      </c>
      <c r="E14" s="22" t="str">
        <f>'2013'!C19</f>
        <v>0,0 (0,0)</v>
      </c>
      <c r="F14" s="22" t="str">
        <f>'2014'!$C19</f>
        <v>0,0 (0,0)</v>
      </c>
      <c r="G14" s="21" t="s">
        <v>910</v>
      </c>
      <c r="H14" s="22" t="s">
        <v>664</v>
      </c>
      <c r="I14" s="22" t="s">
        <v>554</v>
      </c>
      <c r="J14" s="22" t="str">
        <f>'2013'!$E19</f>
        <v>16,8 (+16,8)</v>
      </c>
      <c r="K14" s="23" t="str">
        <f>'2014'!$E19</f>
        <v>1,0 (+1,0)</v>
      </c>
      <c r="L14" s="22" t="s">
        <v>911</v>
      </c>
      <c r="M14" s="22" t="s">
        <v>665</v>
      </c>
      <c r="N14" s="22" t="s">
        <v>555</v>
      </c>
      <c r="O14" s="22" t="str">
        <f>'2013'!$G19</f>
        <v>158,0 (+79,6)</v>
      </c>
      <c r="P14" s="22" t="str">
        <f>'2014'!$G19</f>
        <v>112,5  (+34,1)</v>
      </c>
      <c r="Q14" s="27" t="s">
        <v>1127</v>
      </c>
      <c r="R14" s="22" t="s">
        <v>912</v>
      </c>
      <c r="S14" s="22" t="s">
        <v>666</v>
      </c>
      <c r="T14" s="56" t="s">
        <v>1168</v>
      </c>
      <c r="U14" s="22" t="str">
        <f>'2013'!$I19</f>
        <v>364,5 (+67,9)</v>
      </c>
      <c r="V14" s="22" t="str">
        <f>'2014'!$I19</f>
        <v>372,9 (+75,7)</v>
      </c>
      <c r="W14" s="21" t="s">
        <v>913</v>
      </c>
      <c r="X14" s="22" t="s">
        <v>667</v>
      </c>
      <c r="Y14" s="230" t="str">
        <f>'2012'!K19</f>
        <v>773.6 (+176.4)</v>
      </c>
      <c r="Z14" s="22" t="str">
        <f>'2013'!$K19</f>
        <v>672,0 (+74,9)</v>
      </c>
      <c r="AA14" s="22" t="str">
        <f>'2014'!$K19</f>
        <v>688,2 (+88,3)</v>
      </c>
      <c r="AB14" s="21" t="s">
        <v>914</v>
      </c>
      <c r="AC14" s="22" t="s">
        <v>668</v>
      </c>
      <c r="AD14" s="220" t="str">
        <f>'2012'!M19</f>
        <v>1109,4 (+256,4)</v>
      </c>
      <c r="AE14" s="22" t="str">
        <f>'2013'!$M19</f>
        <v>970,9 (+117,9)</v>
      </c>
      <c r="AF14" s="23" t="str">
        <f>'2014'!$M19</f>
        <v>959,8 (+101,2)</v>
      </c>
      <c r="AG14" s="27" t="s">
        <v>1127</v>
      </c>
      <c r="AH14" s="21" t="s">
        <v>915</v>
      </c>
      <c r="AI14" s="22" t="s">
        <v>669</v>
      </c>
      <c r="AJ14" s="66" t="s">
        <v>1267</v>
      </c>
      <c r="AK14" s="22" t="str">
        <f>'2013'!$O19</f>
        <v>1100,6 (+154,8)</v>
      </c>
      <c r="AL14" s="22" t="str">
        <f>'2014'!$O19</f>
        <v>1108,3 (+153,3)</v>
      </c>
      <c r="AM14" s="21" t="s">
        <v>916</v>
      </c>
      <c r="AN14" s="22" t="s">
        <v>670</v>
      </c>
      <c r="AO14" s="59" t="str">
        <f>'2012'!Q19</f>
        <v>1309.5 (+363.3)</v>
      </c>
      <c r="AP14" s="22" t="str">
        <f>'2013'!$Q19</f>
        <v>1150,1 (+203,9)</v>
      </c>
      <c r="AQ14" s="22">
        <f>'2014'!$Q19</f>
        <v>0</v>
      </c>
      <c r="AR14" s="21" t="s">
        <v>916</v>
      </c>
      <c r="AS14" s="22" t="s">
        <v>671</v>
      </c>
      <c r="AT14" s="59" t="str">
        <f>'2012'!S19</f>
        <v>1309.5 (+363.3)</v>
      </c>
      <c r="AU14" s="22" t="str">
        <f>'2013'!$S19</f>
        <v>1152,9 (+206,8)</v>
      </c>
      <c r="AV14" s="23">
        <f>'2014'!$S19</f>
        <v>0</v>
      </c>
      <c r="AW14" s="23">
        <f>'2015'!$S19</f>
        <v>0</v>
      </c>
    </row>
    <row r="15" spans="1:53" ht="15" x14ac:dyDescent="0.3">
      <c r="A15" s="27" t="s">
        <v>1128</v>
      </c>
      <c r="B15" s="21" t="s">
        <v>880</v>
      </c>
      <c r="C15" s="22" t="s">
        <v>880</v>
      </c>
      <c r="D15" s="22" t="s">
        <v>703</v>
      </c>
      <c r="E15" s="22" t="str">
        <f>'2013'!C20</f>
        <v>0,0 (0,0)</v>
      </c>
      <c r="F15" s="22" t="str">
        <f>'2014'!$C20</f>
        <v>0,0 (0,0)</v>
      </c>
      <c r="G15" s="21" t="s">
        <v>917</v>
      </c>
      <c r="H15" s="22" t="s">
        <v>672</v>
      </c>
      <c r="I15" s="22" t="s">
        <v>556</v>
      </c>
      <c r="J15" s="22" t="str">
        <f>'2013'!$E20</f>
        <v>26,6 (+26,6)</v>
      </c>
      <c r="K15" s="23" t="str">
        <f>'2014'!$E20</f>
        <v>7,1 (+7,1)</v>
      </c>
      <c r="L15" s="22" t="s">
        <v>918</v>
      </c>
      <c r="M15" s="22" t="s">
        <v>673</v>
      </c>
      <c r="N15" s="22" t="s">
        <v>557</v>
      </c>
      <c r="O15" s="22" t="str">
        <f>'2013'!$G20</f>
        <v>189,2 (+124,4)</v>
      </c>
      <c r="P15" s="22" t="str">
        <f>'2014'!$G20</f>
        <v>118,5  (+50,6)</v>
      </c>
      <c r="Q15" s="27" t="s">
        <v>1128</v>
      </c>
      <c r="R15" s="22" t="s">
        <v>919</v>
      </c>
      <c r="S15" s="22" t="s">
        <v>674</v>
      </c>
      <c r="T15" s="56" t="s">
        <v>1169</v>
      </c>
      <c r="U15" s="22" t="str">
        <f>'2013'!$I20</f>
        <v>398,3 (+135,4)</v>
      </c>
      <c r="V15" s="22" t="str">
        <f>'2014'!$I20</f>
        <v>379,4 (+108,7)</v>
      </c>
      <c r="W15" s="21" t="s">
        <v>920</v>
      </c>
      <c r="X15" s="22" t="s">
        <v>675</v>
      </c>
      <c r="Y15" s="230" t="str">
        <f>'2012'!K20</f>
        <v>793.3 (+249.9)</v>
      </c>
      <c r="Z15" s="22" t="str">
        <f>'2013'!$K20</f>
        <v>742,8 (+199,4)</v>
      </c>
      <c r="AA15" s="22" t="str">
        <f>'2014'!$K20</f>
        <v>695,2 (+138,7)</v>
      </c>
      <c r="AB15" s="21" t="s">
        <v>921</v>
      </c>
      <c r="AC15" s="22" t="s">
        <v>676</v>
      </c>
      <c r="AD15" s="220" t="str">
        <f>'2012'!M20</f>
        <v>1134,1 (+354,1)</v>
      </c>
      <c r="AE15" s="22" t="str">
        <f>'2013'!$M20</f>
        <v>1014,2 (+234,2)</v>
      </c>
      <c r="AF15" s="23" t="str">
        <f>'2014'!$M20</f>
        <v>982 (+182,7)</v>
      </c>
      <c r="AG15" s="27" t="s">
        <v>1128</v>
      </c>
      <c r="AH15" s="21" t="s">
        <v>922</v>
      </c>
      <c r="AI15" s="22" t="s">
        <v>677</v>
      </c>
      <c r="AJ15" s="66" t="s">
        <v>1268</v>
      </c>
      <c r="AK15" s="22" t="str">
        <f>'2013'!O20</f>
        <v>1152,5 (+294,1)</v>
      </c>
      <c r="AL15" s="22">
        <f>'2014'!P20</f>
        <v>0</v>
      </c>
      <c r="AM15" s="21" t="s">
        <v>923</v>
      </c>
      <c r="AN15" s="22" t="s">
        <v>678</v>
      </c>
      <c r="AO15" s="59" t="str">
        <f>'2012'!Q20</f>
        <v>1362.9 (+504.5)</v>
      </c>
      <c r="AP15" s="22" t="str">
        <f>'2013'!$Q20</f>
        <v>1221,3 (+362,8)</v>
      </c>
      <c r="AQ15" s="22">
        <f>'2014'!$Q20</f>
        <v>0</v>
      </c>
      <c r="AR15" s="21" t="s">
        <v>923</v>
      </c>
      <c r="AS15" s="22" t="s">
        <v>679</v>
      </c>
      <c r="AT15" s="59" t="str">
        <f>'2012'!S20</f>
        <v>1367.7 (+509.3)</v>
      </c>
      <c r="AU15" s="22" t="str">
        <f>'2013'!$S20</f>
        <v>1225,1 (+366,6)</v>
      </c>
      <c r="AV15" s="23">
        <f>'2014'!$S20</f>
        <v>0</v>
      </c>
      <c r="AW15" s="23">
        <f>'2015'!$S20</f>
        <v>0</v>
      </c>
    </row>
    <row r="16" spans="1:53" ht="17.25" thickBot="1" x14ac:dyDescent="0.35">
      <c r="A16" s="36" t="s">
        <v>1448</v>
      </c>
      <c r="B16" s="37">
        <v>0</v>
      </c>
      <c r="C16" s="38">
        <v>0</v>
      </c>
      <c r="D16" s="38">
        <f>(8.9+21.4)/2</f>
        <v>15.149999999999999</v>
      </c>
      <c r="E16" s="38">
        <f>'2013'!B21</f>
        <v>0</v>
      </c>
      <c r="F16" s="38">
        <f>'2014'!$B21</f>
        <v>0</v>
      </c>
      <c r="G16" s="37">
        <f>(18.9+32.8)/2</f>
        <v>25.849999999999998</v>
      </c>
      <c r="H16" s="38">
        <f>(8.8+20.7)/2</f>
        <v>14.75</v>
      </c>
      <c r="I16" s="38">
        <f>(24.5+40.6)/2</f>
        <v>32.549999999999997</v>
      </c>
      <c r="J16" s="38">
        <f>'2013'!$D21</f>
        <v>21.700000000000003</v>
      </c>
      <c r="K16" s="45">
        <f>'2014'!$D21</f>
        <v>4.05</v>
      </c>
      <c r="L16" s="41">
        <f>(176.7+202.2)/2</f>
        <v>189.45</v>
      </c>
      <c r="M16" s="41">
        <f>(116.9+148.9)/2</f>
        <v>132.9</v>
      </c>
      <c r="N16" s="41">
        <f>(178.1+201.2)/2</f>
        <v>189.64999999999998</v>
      </c>
      <c r="O16" s="38">
        <f>'2013'!$F21</f>
        <v>173.6</v>
      </c>
      <c r="P16" s="38">
        <f>'2014'!$F21</f>
        <v>115.5</v>
      </c>
      <c r="Q16" s="36" t="s">
        <v>1162</v>
      </c>
      <c r="R16" s="41">
        <f>(404.7+423.6)/2</f>
        <v>414.15</v>
      </c>
      <c r="S16" s="41">
        <f>(359.7+387)/2</f>
        <v>373.35</v>
      </c>
      <c r="T16" s="41">
        <f>(441.5+455)/2</f>
        <v>448.25</v>
      </c>
      <c r="U16" s="38">
        <f>'2013'!$H21</f>
        <v>381.4</v>
      </c>
      <c r="V16" s="38">
        <f>'2014'!$H21</f>
        <v>376.15</v>
      </c>
      <c r="W16" s="37">
        <f>(762.1+787.5)/2</f>
        <v>774.8</v>
      </c>
      <c r="X16" s="38">
        <f>(714.7+735.2)/2</f>
        <v>724.95</v>
      </c>
      <c r="Y16" s="231">
        <f>'2012'!J21</f>
        <v>783.45</v>
      </c>
      <c r="Z16" s="38">
        <f>'2013'!$J21</f>
        <v>707.4</v>
      </c>
      <c r="AA16" s="38">
        <f>'2014'!$J21</f>
        <v>691.7</v>
      </c>
      <c r="AB16" s="37">
        <f>(1052.3+1088.1)/2</f>
        <v>1070.1999999999998</v>
      </c>
      <c r="AC16" s="38">
        <f>(1017.5+1025.9)/2</f>
        <v>1021.7</v>
      </c>
      <c r="AD16" s="221">
        <f>'2012'!L21</f>
        <v>1121.75</v>
      </c>
      <c r="AE16" s="38">
        <f>'2013'!$L21</f>
        <v>992.55</v>
      </c>
      <c r="AF16" s="45">
        <f>'2014'!$L21</f>
        <v>970.9</v>
      </c>
      <c r="AG16" s="36" t="s">
        <v>1162</v>
      </c>
      <c r="AH16" s="37">
        <f>(1215.1+1250.3)/2</f>
        <v>1232.6999999999998</v>
      </c>
      <c r="AI16" s="38">
        <f>(1209.4+1226.6)/2</f>
        <v>1218</v>
      </c>
      <c r="AJ16" s="62">
        <v>1282</v>
      </c>
      <c r="AK16" s="38">
        <f>'2013'!$N21</f>
        <v>1126.55</v>
      </c>
      <c r="AL16" s="38">
        <f>'2014'!$N21</f>
        <v>1128.6500000000001</v>
      </c>
      <c r="AM16" s="37">
        <f>(1228.9+1274.2)/2</f>
        <v>1251.5500000000002</v>
      </c>
      <c r="AN16" s="38">
        <f>(1247.7+1274.9)/2</f>
        <v>1261.3000000000002</v>
      </c>
      <c r="AO16" s="63">
        <f>'2012'!P21</f>
        <v>1336.2</v>
      </c>
      <c r="AP16" s="38">
        <f>'2013'!$P21</f>
        <v>1185.6999999999998</v>
      </c>
      <c r="AQ16" s="38" t="e">
        <f>'2014'!$P21</f>
        <v>#DIV/0!</v>
      </c>
      <c r="AR16" s="37">
        <f>(1228.9+1274.2)/2</f>
        <v>1251.5500000000002</v>
      </c>
      <c r="AS16" s="38">
        <f>(1253+1282.5)/2</f>
        <v>1267.75</v>
      </c>
      <c r="AT16" s="63">
        <f>'2012'!R21</f>
        <v>1338.6</v>
      </c>
      <c r="AU16" s="38">
        <f>'2013'!$R21</f>
        <v>1189</v>
      </c>
      <c r="AV16" s="45" t="e">
        <f>'2014'!$R21</f>
        <v>#DIV/0!</v>
      </c>
      <c r="AW16" s="45" t="e">
        <f>'2015'!$R21</f>
        <v>#DIV/0!</v>
      </c>
      <c r="BA16" s="31" t="s">
        <v>1338</v>
      </c>
    </row>
    <row r="17" spans="1:49" ht="16.5" x14ac:dyDescent="0.3">
      <c r="A17" s="24" t="s">
        <v>1129</v>
      </c>
      <c r="B17" s="28"/>
      <c r="C17" s="25"/>
      <c r="D17" s="25"/>
      <c r="E17" s="25"/>
      <c r="F17" s="25"/>
      <c r="G17" s="28"/>
      <c r="H17" s="25"/>
      <c r="I17" s="25"/>
      <c r="J17" s="25"/>
      <c r="K17" s="29"/>
      <c r="L17" s="25"/>
      <c r="M17" s="25"/>
      <c r="N17" s="25"/>
      <c r="O17" s="25"/>
      <c r="P17" s="25"/>
      <c r="Q17" s="24" t="s">
        <v>1129</v>
      </c>
      <c r="R17" s="25"/>
      <c r="S17" s="25"/>
      <c r="T17" s="25"/>
      <c r="U17" s="25"/>
      <c r="V17" s="25"/>
      <c r="W17" s="28"/>
      <c r="X17" s="25"/>
      <c r="Y17" s="232"/>
      <c r="Z17" s="25"/>
      <c r="AA17" s="25"/>
      <c r="AB17" s="28"/>
      <c r="AC17" s="25"/>
      <c r="AD17" s="222"/>
      <c r="AE17" s="25"/>
      <c r="AF17" s="29"/>
      <c r="AG17" s="24" t="s">
        <v>1129</v>
      </c>
      <c r="AH17" s="28"/>
      <c r="AI17" s="25"/>
      <c r="AJ17" s="60"/>
      <c r="AK17" s="25"/>
      <c r="AL17" s="25"/>
      <c r="AM17" s="28"/>
      <c r="AN17" s="25"/>
      <c r="AO17" s="60"/>
      <c r="AP17" s="25"/>
      <c r="AQ17" s="25"/>
      <c r="AR17" s="28"/>
      <c r="AS17" s="25"/>
      <c r="AT17" s="60"/>
      <c r="AU17" s="25"/>
      <c r="AV17" s="199"/>
      <c r="AW17" s="199"/>
    </row>
    <row r="18" spans="1:49" ht="15" x14ac:dyDescent="0.3">
      <c r="A18" s="27" t="s">
        <v>1130</v>
      </c>
      <c r="B18" s="21" t="s">
        <v>880</v>
      </c>
      <c r="C18" s="22" t="s">
        <v>880</v>
      </c>
      <c r="D18" s="22" t="s">
        <v>558</v>
      </c>
      <c r="E18" s="22" t="str">
        <f>'2013'!C23</f>
        <v>0,0 (0,0)</v>
      </c>
      <c r="F18" s="22" t="str">
        <f>'2014'!$C23</f>
        <v>0,0 (0,0)</v>
      </c>
      <c r="G18" s="21" t="s">
        <v>924</v>
      </c>
      <c r="H18" s="22" t="s">
        <v>680</v>
      </c>
      <c r="I18" s="22" t="s">
        <v>559</v>
      </c>
      <c r="J18" s="22" t="str">
        <f>'2013'!$E23</f>
        <v>11,7 (+11,7)</v>
      </c>
      <c r="K18" s="23" t="str">
        <f>'2014'!$E23</f>
        <v>0,2 (+0,2)</v>
      </c>
      <c r="L18" s="22" t="s">
        <v>925</v>
      </c>
      <c r="M18" s="22" t="s">
        <v>681</v>
      </c>
      <c r="N18" s="22" t="s">
        <v>560</v>
      </c>
      <c r="O18" s="22" t="str">
        <f>'2013'!$G23</f>
        <v>123,7 (+66,0)</v>
      </c>
      <c r="P18" s="22" t="str">
        <f>'2014'!$G23</f>
        <v>89,8  (+34,3)</v>
      </c>
      <c r="Q18" s="27" t="s">
        <v>1130</v>
      </c>
      <c r="R18" s="22" t="s">
        <v>926</v>
      </c>
      <c r="S18" s="22" t="s">
        <v>682</v>
      </c>
      <c r="T18" s="56" t="s">
        <v>1170</v>
      </c>
      <c r="U18" s="22" t="str">
        <f>'2013'!$I23</f>
        <v>273,0 (+19,5)</v>
      </c>
      <c r="V18" s="22" t="str">
        <f>'2014'!$I23</f>
        <v>316,5 (+68,0)</v>
      </c>
      <c r="W18" s="21" t="s">
        <v>927</v>
      </c>
      <c r="X18" s="22" t="s">
        <v>683</v>
      </c>
      <c r="Y18" s="230" t="str">
        <f>'2012'!K23</f>
        <v>661.6 (+126.1)</v>
      </c>
      <c r="Z18" s="22" t="str">
        <f>'2013'!$K23</f>
        <v>586,0 (+50,6)</v>
      </c>
      <c r="AA18" s="22" t="str">
        <f>'2014'!$K23</f>
        <v>607 (+78,6)</v>
      </c>
      <c r="AB18" s="21" t="s">
        <v>928</v>
      </c>
      <c r="AC18" s="22" t="s">
        <v>684</v>
      </c>
      <c r="AD18" s="220" t="str">
        <f>'2012'!M23</f>
        <v>967,1 (+194,3)</v>
      </c>
      <c r="AE18" s="22" t="str">
        <f>'2013'!$M23</f>
        <v>841,2 (+68,4)</v>
      </c>
      <c r="AF18" s="23" t="str">
        <f>'2014'!$M23</f>
        <v>855,6 (+91,3)</v>
      </c>
      <c r="AG18" s="27" t="s">
        <v>1130</v>
      </c>
      <c r="AH18" s="21" t="s">
        <v>929</v>
      </c>
      <c r="AI18" s="22" t="s">
        <v>685</v>
      </c>
      <c r="AJ18" s="56" t="s">
        <v>1269</v>
      </c>
      <c r="AK18" s="22" t="str">
        <f>'2013'!$O23</f>
        <v>946,7 (+98,0)</v>
      </c>
      <c r="AL18" s="22" t="str">
        <f>'2014'!$O23</f>
        <v>985,2 (+144,6)</v>
      </c>
      <c r="AM18" s="21" t="s">
        <v>930</v>
      </c>
      <c r="AN18" s="22" t="s">
        <v>686</v>
      </c>
      <c r="AO18" s="59" t="str">
        <f>'2012'!Q23</f>
        <v>1126.2 (+277.4)</v>
      </c>
      <c r="AP18" s="22" t="str">
        <f>'2013'!$Q23</f>
        <v>978,9 (+130,2)</v>
      </c>
      <c r="AQ18" s="22">
        <f>'2014'!$Q23</f>
        <v>0</v>
      </c>
      <c r="AR18" s="21" t="s">
        <v>930</v>
      </c>
      <c r="AS18" s="22" t="s">
        <v>687</v>
      </c>
      <c r="AT18" s="59" t="str">
        <f>'2012'!S23</f>
        <v>1126.2 (+277.4)</v>
      </c>
      <c r="AU18" s="22" t="str">
        <f>'2013'!$S23</f>
        <v>980,8 (+132,1)</v>
      </c>
      <c r="AV18" s="23">
        <f>'2014'!$S23</f>
        <v>0</v>
      </c>
      <c r="AW18" s="23">
        <f>'2015'!$S23</f>
        <v>0</v>
      </c>
    </row>
    <row r="19" spans="1:49" ht="15" x14ac:dyDescent="0.3">
      <c r="A19" s="27" t="s">
        <v>1131</v>
      </c>
      <c r="B19" s="21" t="s">
        <v>880</v>
      </c>
      <c r="C19" s="22" t="s">
        <v>880</v>
      </c>
      <c r="D19" s="22" t="s">
        <v>561</v>
      </c>
      <c r="E19" s="22" t="str">
        <f>'2013'!C24</f>
        <v>0,0 (0,0)</v>
      </c>
      <c r="F19" s="22" t="str">
        <f>'2014'!$C24</f>
        <v>0,0 (0,0)</v>
      </c>
      <c r="G19" s="21" t="s">
        <v>931</v>
      </c>
      <c r="H19" s="22" t="s">
        <v>959</v>
      </c>
      <c r="I19" s="22" t="s">
        <v>562</v>
      </c>
      <c r="J19" s="22" t="str">
        <f>'2013'!$E24</f>
        <v>15,1 (+15,1)</v>
      </c>
      <c r="K19" s="23" t="str">
        <f>'2014'!$E24</f>
        <v>2,0 (+2,0)</v>
      </c>
      <c r="L19" s="22" t="s">
        <v>932</v>
      </c>
      <c r="M19" s="22" t="s">
        <v>688</v>
      </c>
      <c r="N19" s="22" t="s">
        <v>563</v>
      </c>
      <c r="O19" s="22" t="str">
        <f>'2013'!$G24</f>
        <v>129,2 (+80,0)</v>
      </c>
      <c r="P19" s="22" t="str">
        <f>'2014'!$G24</f>
        <v>91,8  (+43,4)</v>
      </c>
      <c r="Q19" s="27" t="s">
        <v>1131</v>
      </c>
      <c r="R19" s="22" t="s">
        <v>933</v>
      </c>
      <c r="S19" s="22" t="s">
        <v>689</v>
      </c>
      <c r="T19" s="56" t="s">
        <v>1171</v>
      </c>
      <c r="U19" s="22" t="str">
        <f>'2013'!$I24</f>
        <v>320,9 (+84,9)</v>
      </c>
      <c r="V19" s="22" t="str">
        <f>'2014'!$I24</f>
        <v>341,2 (+107,6)</v>
      </c>
      <c r="W19" s="21" t="s">
        <v>934</v>
      </c>
      <c r="X19" s="22" t="s">
        <v>690</v>
      </c>
      <c r="Y19" s="230" t="str">
        <f>'2012'!K24</f>
        <v>693.2 (+182.3)</v>
      </c>
      <c r="Z19" s="22" t="str">
        <f>'2013'!$K24</f>
        <v>632,1 (+121,2)</v>
      </c>
      <c r="AA19" s="22" t="str">
        <f>'2014'!$K24</f>
        <v>650,4 (+145,7)</v>
      </c>
      <c r="AB19" s="21" t="s">
        <v>935</v>
      </c>
      <c r="AC19" s="22" t="s">
        <v>691</v>
      </c>
      <c r="AD19" s="220" t="str">
        <f>'2012'!M24</f>
        <v>997,6 (+256,6)</v>
      </c>
      <c r="AE19" s="22" t="str">
        <f>'2013'!$M24</f>
        <v>886,9 (+145,9)</v>
      </c>
      <c r="AF19" s="23" t="str">
        <f>'2014'!$M24</f>
        <v>940,6 (+203,8)</v>
      </c>
      <c r="AG19" s="27" t="s">
        <v>1131</v>
      </c>
      <c r="AH19" s="21" t="s">
        <v>936</v>
      </c>
      <c r="AI19" s="22" t="s">
        <v>692</v>
      </c>
      <c r="AJ19" s="56" t="s">
        <v>1270</v>
      </c>
      <c r="AK19" s="22" t="str">
        <f>'2013'!$O24</f>
        <v>1003,2 (+192,1)</v>
      </c>
      <c r="AL19" s="22" t="str">
        <f>'2014'!$O24</f>
        <v>1053,0 (+244,6)</v>
      </c>
      <c r="AM19" s="21" t="s">
        <v>937</v>
      </c>
      <c r="AN19" s="22" t="s">
        <v>693</v>
      </c>
      <c r="AO19" s="59" t="str">
        <f>'2012'!Q24</f>
        <v>1188.2 (+377.2)</v>
      </c>
      <c r="AP19" s="22" t="str">
        <f>'2013'!$Q24</f>
        <v>1043,3 (+232,3)</v>
      </c>
      <c r="AQ19" s="22">
        <f>'2014'!$Q24</f>
        <v>0</v>
      </c>
      <c r="AR19" s="21" t="s">
        <v>937</v>
      </c>
      <c r="AS19" s="22" t="s">
        <v>694</v>
      </c>
      <c r="AT19" s="59" t="str">
        <f>'2012'!S24</f>
        <v>1188.2 (+377.2)</v>
      </c>
      <c r="AU19" s="22" t="str">
        <f>'2013'!$S24</f>
        <v>1046,1 (+235,0)</v>
      </c>
      <c r="AV19" s="23">
        <f>'2014'!$S24</f>
        <v>0</v>
      </c>
      <c r="AW19" s="23">
        <f>'2015'!$S24</f>
        <v>0</v>
      </c>
    </row>
    <row r="20" spans="1:49" ht="17.25" thickBot="1" x14ac:dyDescent="0.35">
      <c r="A20" s="32" t="s">
        <v>1449</v>
      </c>
      <c r="B20" s="33">
        <v>0</v>
      </c>
      <c r="C20" s="34">
        <v>0</v>
      </c>
      <c r="D20" s="34">
        <f>(8.2+9.4)/2</f>
        <v>8.8000000000000007</v>
      </c>
      <c r="E20" s="34">
        <f>'2013'!B25</f>
        <v>0</v>
      </c>
      <c r="F20" s="34">
        <f>'2014'!$B25</f>
        <v>0</v>
      </c>
      <c r="G20" s="33">
        <f>(9.2+14.5)/2</f>
        <v>11.85</v>
      </c>
      <c r="H20" s="34">
        <f>(1.8+2.5)/2</f>
        <v>2.15</v>
      </c>
      <c r="I20" s="34">
        <f>(23.3+26.5)/2</f>
        <v>24.9</v>
      </c>
      <c r="J20" s="34">
        <f>'2013'!$D25</f>
        <v>13.399999999999999</v>
      </c>
      <c r="K20" s="35">
        <f>'2014'!$D25</f>
        <v>1.1000000000000001</v>
      </c>
      <c r="L20" s="43">
        <f>(134.5+143.8)/2</f>
        <v>139.15</v>
      </c>
      <c r="M20" s="43">
        <f>(79.8+76)/2</f>
        <v>77.900000000000006</v>
      </c>
      <c r="N20" s="43">
        <f>(138.5+149.4)/2</f>
        <v>143.94999999999999</v>
      </c>
      <c r="O20" s="34">
        <f>'2013'!$F25</f>
        <v>126.44999999999999</v>
      </c>
      <c r="P20" s="34">
        <f>'2014'!$F25</f>
        <v>90.8</v>
      </c>
      <c r="Q20" s="32" t="s">
        <v>1162</v>
      </c>
      <c r="R20" s="43">
        <f>(326.4+345.9)/2</f>
        <v>336.15</v>
      </c>
      <c r="S20" s="43">
        <f>(288.6+286.4)/2</f>
        <v>287.5</v>
      </c>
      <c r="T20" s="43">
        <f>(364.9+379.1)/2</f>
        <v>372</v>
      </c>
      <c r="U20" s="34">
        <f>'2013'!$H25</f>
        <v>296.95</v>
      </c>
      <c r="V20" s="34">
        <f>'2014'!$H25</f>
        <v>328.85</v>
      </c>
      <c r="W20" s="33">
        <f>(668.3+708.3)/2</f>
        <v>688.3</v>
      </c>
      <c r="X20" s="34">
        <f>(599.1+616.3)/2</f>
        <v>607.70000000000005</v>
      </c>
      <c r="Y20" s="234">
        <f>'2012'!J25</f>
        <v>677.40000000000009</v>
      </c>
      <c r="Z20" s="34">
        <f>'2013'!$J25</f>
        <v>609.04999999999995</v>
      </c>
      <c r="AA20" s="34">
        <f>'2014'!$J25</f>
        <v>628.70000000000005</v>
      </c>
      <c r="AB20" s="42">
        <f>(945.5+1005.4)/2</f>
        <v>975.45</v>
      </c>
      <c r="AC20" s="43">
        <f>(870.7+887)/2</f>
        <v>878.85</v>
      </c>
      <c r="AD20" s="223">
        <f>'2012'!L25</f>
        <v>982.35</v>
      </c>
      <c r="AE20" s="34">
        <f>'2013'!$L25</f>
        <v>864.05</v>
      </c>
      <c r="AF20" s="35">
        <f>'2014'!$L25</f>
        <v>898.1</v>
      </c>
      <c r="AG20" s="32" t="s">
        <v>1162</v>
      </c>
      <c r="AH20" s="33">
        <f>(1089.3+1146.9)/2</f>
        <v>1118.0999999999999</v>
      </c>
      <c r="AI20" s="34">
        <f>(1031.1+1061.3)/2</f>
        <v>1046.1999999999998</v>
      </c>
      <c r="AJ20" s="64">
        <v>1133.7</v>
      </c>
      <c r="AK20" s="34">
        <f>'2013'!$N25</f>
        <v>974.95</v>
      </c>
      <c r="AL20" s="34">
        <f>'2014'!$N25</f>
        <v>1019.1</v>
      </c>
      <c r="AM20" s="33">
        <f>(1098.6+1155.4)/2</f>
        <v>1127</v>
      </c>
      <c r="AN20" s="34">
        <f>(1057.7+1090.3)/2</f>
        <v>1074</v>
      </c>
      <c r="AO20" s="64">
        <f>'2012'!P25</f>
        <v>1157.2</v>
      </c>
      <c r="AP20" s="34">
        <f>'2013'!$P25</f>
        <v>1011.0999999999999</v>
      </c>
      <c r="AQ20" s="34" t="e">
        <f>'2014'!$P25</f>
        <v>#DIV/0!</v>
      </c>
      <c r="AR20" s="33">
        <f>(1098.6+1155.4)/2</f>
        <v>1127</v>
      </c>
      <c r="AS20" s="34">
        <f>(1059.2+1092.8)/2</f>
        <v>1076</v>
      </c>
      <c r="AT20" s="64">
        <f>'2012'!R25</f>
        <v>1157.2</v>
      </c>
      <c r="AU20" s="34">
        <f>'2013'!$R25</f>
        <v>1013.4499999999999</v>
      </c>
      <c r="AV20" s="35" t="e">
        <f>'2014'!$R25</f>
        <v>#DIV/0!</v>
      </c>
      <c r="AW20" s="35" t="e">
        <f>'2015'!$R25</f>
        <v>#DIV/0!</v>
      </c>
    </row>
    <row r="21" spans="1:49" ht="16.5" x14ac:dyDescent="0.3">
      <c r="A21" s="26" t="s">
        <v>1132</v>
      </c>
      <c r="B21" s="18"/>
      <c r="C21" s="19"/>
      <c r="D21" s="19"/>
      <c r="E21" s="19"/>
      <c r="F21" s="19"/>
      <c r="G21" s="18"/>
      <c r="H21" s="19"/>
      <c r="I21" s="19"/>
      <c r="J21" s="19"/>
      <c r="K21" s="20"/>
      <c r="L21" s="19"/>
      <c r="M21" s="19"/>
      <c r="N21" s="19"/>
      <c r="O21" s="19"/>
      <c r="P21" s="19"/>
      <c r="Q21" s="26" t="s">
        <v>1132</v>
      </c>
      <c r="R21" s="19"/>
      <c r="S21" s="19"/>
      <c r="T21" s="19"/>
      <c r="U21" s="19"/>
      <c r="V21" s="19"/>
      <c r="W21" s="18"/>
      <c r="X21" s="19"/>
      <c r="Y21" s="230"/>
      <c r="Z21" s="19"/>
      <c r="AA21" s="19"/>
      <c r="AB21" s="18"/>
      <c r="AC21" s="19"/>
      <c r="AD21" s="220"/>
      <c r="AE21" s="19"/>
      <c r="AF21" s="20"/>
      <c r="AG21" s="26" t="s">
        <v>1132</v>
      </c>
      <c r="AH21" s="18"/>
      <c r="AI21" s="19"/>
      <c r="AJ21" s="59"/>
      <c r="AK21" s="19"/>
      <c r="AL21" s="19"/>
      <c r="AM21" s="18"/>
      <c r="AN21" s="19"/>
      <c r="AO21" s="59"/>
      <c r="AP21" s="19"/>
      <c r="AQ21" s="19"/>
      <c r="AR21" s="18"/>
      <c r="AS21" s="19"/>
      <c r="AT21" s="59"/>
      <c r="AU21" s="19"/>
      <c r="AV21" s="196"/>
      <c r="AW21" s="196"/>
    </row>
    <row r="22" spans="1:49" ht="15" x14ac:dyDescent="0.3">
      <c r="A22" s="27" t="s">
        <v>1133</v>
      </c>
      <c r="B22" s="21" t="s">
        <v>880</v>
      </c>
      <c r="C22" s="22" t="s">
        <v>880</v>
      </c>
      <c r="D22" s="22" t="s">
        <v>564</v>
      </c>
      <c r="E22" s="22" t="str">
        <f>'2013'!C27</f>
        <v>0,0 (0,0)</v>
      </c>
      <c r="F22" s="22" t="str">
        <f>'2014'!$C27</f>
        <v>0,0 (0,0)</v>
      </c>
      <c r="G22" s="21" t="s">
        <v>938</v>
      </c>
      <c r="H22" s="22" t="s">
        <v>695</v>
      </c>
      <c r="I22" s="22" t="s">
        <v>565</v>
      </c>
      <c r="J22" s="22" t="str">
        <f>'2013'!$E27</f>
        <v>17,1 (+17,1)</v>
      </c>
      <c r="K22" s="23" t="str">
        <f>'2014'!$E27</f>
        <v>8,6 (+8,6)</v>
      </c>
      <c r="L22" s="22" t="s">
        <v>939</v>
      </c>
      <c r="M22" s="22" t="s">
        <v>696</v>
      </c>
      <c r="N22" s="22" t="s">
        <v>566</v>
      </c>
      <c r="O22" s="22" t="str">
        <f>'2013'!$G27</f>
        <v>150,4 (+81,1)</v>
      </c>
      <c r="P22" s="22" t="str">
        <f>'2014'!$G27</f>
        <v>113,1 (+43,7)</v>
      </c>
      <c r="Q22" s="27" t="s">
        <v>1133</v>
      </c>
      <c r="R22" s="22" t="s">
        <v>940</v>
      </c>
      <c r="S22" s="22" t="s">
        <v>697</v>
      </c>
      <c r="T22" s="56" t="s">
        <v>1172</v>
      </c>
      <c r="U22" s="22" t="str">
        <f>'2013'!$I27</f>
        <v>371,4 (+100,1)</v>
      </c>
      <c r="V22" s="22" t="str">
        <f>'2014'!$I27</f>
        <v>346,4 (+74,6)</v>
      </c>
      <c r="W22" s="21" t="s">
        <v>941</v>
      </c>
      <c r="X22" s="22" t="s">
        <v>698</v>
      </c>
      <c r="Y22" s="230" t="str">
        <f>'2012'!K27</f>
        <v>739.8 (+183.7)</v>
      </c>
      <c r="Z22" s="22" t="str">
        <f>'2013'!$K27</f>
        <v>722,5 (+166,3)</v>
      </c>
      <c r="AA22" s="22" t="str">
        <f>'2014'!$K27</f>
        <v>654,4 (+96,7)</v>
      </c>
      <c r="AB22" s="21" t="s">
        <v>942</v>
      </c>
      <c r="AC22" s="22" t="s">
        <v>699</v>
      </c>
      <c r="AD22" s="220" t="str">
        <f>'2012'!M27</f>
        <v>1060,2 (+261,0)</v>
      </c>
      <c r="AE22" s="22" t="str">
        <f>'2013'!$M27</f>
        <v>988,6 (+189,4)</v>
      </c>
      <c r="AF22" s="23" t="str">
        <f>'2014'!$M27</f>
        <v>917,8 (+115,5)</v>
      </c>
      <c r="AG22" s="27" t="s">
        <v>1133</v>
      </c>
      <c r="AH22" s="21" t="s">
        <v>943</v>
      </c>
      <c r="AI22" s="22" t="s">
        <v>700</v>
      </c>
      <c r="AJ22" s="56" t="s">
        <v>1271</v>
      </c>
      <c r="AK22" s="22" t="str">
        <f>'2013'!$O27</f>
        <v>1113,4 (+224,9)</v>
      </c>
      <c r="AL22" s="22" t="str">
        <f>'2014'!$O27</f>
        <v>1070,4 (+175,9)</v>
      </c>
      <c r="AM22" s="21" t="s">
        <v>944</v>
      </c>
      <c r="AN22" s="22" t="s">
        <v>701</v>
      </c>
      <c r="AO22" s="59" t="str">
        <f>'2012'!Q27</f>
        <v>1249.4 (+360.5)</v>
      </c>
      <c r="AP22" s="22" t="str">
        <f>'2013'!$Q27</f>
        <v>1164,4 (+275,4)</v>
      </c>
      <c r="AQ22" s="22">
        <f>'2014'!$Q27</f>
        <v>0</v>
      </c>
      <c r="AR22" s="21" t="s">
        <v>944</v>
      </c>
      <c r="AS22" s="22" t="s">
        <v>702</v>
      </c>
      <c r="AT22" s="59" t="str">
        <f>'2012'!S27</f>
        <v>1250.2 (+361.2)</v>
      </c>
      <c r="AU22" s="22" t="str">
        <f>'2013'!$S27</f>
        <v>1169,7 (+280,7)</v>
      </c>
      <c r="AV22" s="23">
        <f>'2014'!$S27</f>
        <v>0</v>
      </c>
      <c r="AW22" s="23">
        <f>'2015'!$S27</f>
        <v>0</v>
      </c>
    </row>
    <row r="23" spans="1:49" ht="15" x14ac:dyDescent="0.3">
      <c r="A23" s="27" t="s">
        <v>1134</v>
      </c>
      <c r="B23" s="21" t="s">
        <v>880</v>
      </c>
      <c r="C23" s="22" t="s">
        <v>880</v>
      </c>
      <c r="D23" s="22" t="s">
        <v>567</v>
      </c>
      <c r="E23" s="22" t="str">
        <f>'2013'!C28</f>
        <v>0,0 (0,0)</v>
      </c>
      <c r="F23" s="22" t="str">
        <f>'2014'!$C28</f>
        <v>0,0 (0,0)</v>
      </c>
      <c r="G23" s="21" t="s">
        <v>945</v>
      </c>
      <c r="H23" s="22" t="s">
        <v>703</v>
      </c>
      <c r="I23" s="22" t="s">
        <v>568</v>
      </c>
      <c r="J23" s="22" t="str">
        <f>'2013'!$E28</f>
        <v>18,0 (+18,0)</v>
      </c>
      <c r="K23" s="23" t="str">
        <f>'2014'!$E28</f>
        <v>10,5 (+10,5)</v>
      </c>
      <c r="L23" s="22" t="s">
        <v>946</v>
      </c>
      <c r="M23" s="22" t="s">
        <v>704</v>
      </c>
      <c r="N23" s="22" t="s">
        <v>569</v>
      </c>
      <c r="O23" s="22" t="str">
        <f>'2013'!$G28</f>
        <v>163,5 (+94,4)</v>
      </c>
      <c r="P23" s="22" t="str">
        <f>'2014'!$G28</f>
        <v>112,4 (+47,4)</v>
      </c>
      <c r="Q23" s="27" t="s">
        <v>1134</v>
      </c>
      <c r="R23" s="22" t="s">
        <v>947</v>
      </c>
      <c r="S23" s="22" t="s">
        <v>705</v>
      </c>
      <c r="T23" s="56" t="s">
        <v>1173</v>
      </c>
      <c r="U23" s="22" t="str">
        <f>'2013'!$I28</f>
        <v>380,4 (+111,4)</v>
      </c>
      <c r="V23" s="22" t="str">
        <f>'2014'!$I28</f>
        <v>351,2 (+91,5)</v>
      </c>
      <c r="W23" s="21" t="s">
        <v>948</v>
      </c>
      <c r="X23" s="22" t="s">
        <v>706</v>
      </c>
      <c r="Y23" s="230" t="str">
        <f>'2012'!K28</f>
        <v>747.7 (+195.5)</v>
      </c>
      <c r="Z23" s="22" t="str">
        <f>'2013'!$K28</f>
        <v>731,1 (+178,9)</v>
      </c>
      <c r="AA23" s="22" t="str">
        <f>'2014'!$K28</f>
        <v>672,3 (+134,4)</v>
      </c>
      <c r="AB23" s="21" t="s">
        <v>949</v>
      </c>
      <c r="AC23" s="22" t="s">
        <v>707</v>
      </c>
      <c r="AD23" s="220" t="str">
        <f>'2012'!M28</f>
        <v>1081,0 (+287,3)</v>
      </c>
      <c r="AE23" s="22" t="str">
        <f>'2013'!$M28</f>
        <v>999,6 (+205,9)</v>
      </c>
      <c r="AF23" s="23" t="str">
        <f>'2014'!$M28</f>
        <v>944,2 (+169,1)</v>
      </c>
      <c r="AG23" s="27" t="s">
        <v>1134</v>
      </c>
      <c r="AH23" s="21" t="s">
        <v>950</v>
      </c>
      <c r="AI23" s="22" t="s">
        <v>708</v>
      </c>
      <c r="AJ23" s="56" t="s">
        <v>1272</v>
      </c>
      <c r="AK23" s="22" t="str">
        <f>'2013'!O28</f>
        <v>1130,7 (+247,8)</v>
      </c>
      <c r="AL23" s="22" t="str">
        <f>'2014'!$O28</f>
        <v>1115,5 (+253,8)</v>
      </c>
      <c r="AM23" s="21" t="s">
        <v>951</v>
      </c>
      <c r="AN23" s="22" t="s">
        <v>709</v>
      </c>
      <c r="AO23" s="59" t="str">
        <f>'2012'!Q28</f>
        <v>1277.8 (+394.7)</v>
      </c>
      <c r="AP23" s="22" t="str">
        <f>'2013'!$Q28</f>
        <v>1184,1 (+300,9)</v>
      </c>
      <c r="AQ23" s="22">
        <f>'2014'!$Q28</f>
        <v>0</v>
      </c>
      <c r="AR23" s="21" t="s">
        <v>951</v>
      </c>
      <c r="AS23" s="22" t="s">
        <v>710</v>
      </c>
      <c r="AT23" s="59" t="str">
        <f>'2012'!S28</f>
        <v>1282.1 (+398.9)</v>
      </c>
      <c r="AU23" s="22" t="str">
        <f>'2013'!$S28</f>
        <v>1188,3 (+305,1)</v>
      </c>
      <c r="AV23" s="23">
        <f>'2014'!$S28</f>
        <v>0</v>
      </c>
      <c r="AW23" s="23">
        <f>'2015'!$S28</f>
        <v>0</v>
      </c>
    </row>
    <row r="24" spans="1:49" ht="15" x14ac:dyDescent="0.3">
      <c r="A24" s="27" t="s">
        <v>1135</v>
      </c>
      <c r="B24" s="21" t="s">
        <v>880</v>
      </c>
      <c r="C24" s="22" t="s">
        <v>880</v>
      </c>
      <c r="D24" s="22" t="s">
        <v>570</v>
      </c>
      <c r="E24" s="22" t="str">
        <f>'2013'!C29</f>
        <v>0,0 (0,0)</v>
      </c>
      <c r="F24" s="22" t="str">
        <f>'2014'!$C29</f>
        <v>0,0 (0,0)</v>
      </c>
      <c r="G24" s="21" t="s">
        <v>952</v>
      </c>
      <c r="H24" s="22" t="s">
        <v>711</v>
      </c>
      <c r="I24" s="22" t="s">
        <v>571</v>
      </c>
      <c r="J24" s="22" t="str">
        <f>'2013'!$E29</f>
        <v>17,0 (+17,0)</v>
      </c>
      <c r="K24" s="23" t="str">
        <f>'2014'!$E29</f>
        <v>8,0 (+8,0)</v>
      </c>
      <c r="L24" s="22" t="s">
        <v>953</v>
      </c>
      <c r="M24" s="22" t="s">
        <v>712</v>
      </c>
      <c r="N24" s="22" t="s">
        <v>572</v>
      </c>
      <c r="O24" s="22" t="str">
        <f>'2013'!$G29</f>
        <v>153,8 (+81,9)</v>
      </c>
      <c r="P24" s="22" t="str">
        <f>'2014'!$G29</f>
        <v>117,9  (+45,6)</v>
      </c>
      <c r="Q24" s="27" t="s">
        <v>1135</v>
      </c>
      <c r="R24" s="22" t="s">
        <v>954</v>
      </c>
      <c r="S24" s="22" t="s">
        <v>713</v>
      </c>
      <c r="T24" s="56" t="s">
        <v>1174</v>
      </c>
      <c r="U24" s="22" t="str">
        <f>'2013'!$I29</f>
        <v>362,2 (+84,4)</v>
      </c>
      <c r="V24" s="22" t="str">
        <f>'2014'!$I29</f>
        <v>362,9 (+83,8)</v>
      </c>
      <c r="W24" s="21" t="s">
        <v>955</v>
      </c>
      <c r="X24" s="22" t="s">
        <v>714</v>
      </c>
      <c r="Y24" s="230" t="str">
        <f>'2012'!K29</f>
        <v>710.8 (+144.3)</v>
      </c>
      <c r="Z24" s="22" t="str">
        <f>'2013'!$K29</f>
        <v>715,4 (+148,9)</v>
      </c>
      <c r="AA24" s="22" t="str">
        <f>'2014'!$K29</f>
        <v>658,5 (+85,6)</v>
      </c>
      <c r="AB24" s="21" t="s">
        <v>956</v>
      </c>
      <c r="AC24" s="22" t="s">
        <v>715</v>
      </c>
      <c r="AD24" s="220" t="str">
        <f>'2012'!M29</f>
        <v>1036,1 (+223,9)</v>
      </c>
      <c r="AE24" s="22" t="str">
        <f>'2013'!$M29</f>
        <v>995,8 (+183,5)</v>
      </c>
      <c r="AF24" s="23" t="str">
        <f>'2014'!$M29</f>
        <v>932,6 9+115,2)</v>
      </c>
      <c r="AG24" s="27" t="s">
        <v>1135</v>
      </c>
      <c r="AH24" s="21" t="s">
        <v>957</v>
      </c>
      <c r="AI24" s="22" t="s">
        <v>716</v>
      </c>
      <c r="AJ24" s="56" t="s">
        <v>1273</v>
      </c>
      <c r="AK24" s="22" t="str">
        <f>'2013'!O29</f>
        <v>1128,6 (+227,6)</v>
      </c>
      <c r="AL24" s="22" t="str">
        <f>'2014'!$O29</f>
        <v>1099,7 (+189,5)</v>
      </c>
      <c r="AM24" s="21" t="s">
        <v>958</v>
      </c>
      <c r="AN24" s="22" t="s">
        <v>717</v>
      </c>
      <c r="AO24" s="59" t="str">
        <f>'2012'!Q29</f>
        <v>1220.2 (+318.8)</v>
      </c>
      <c r="AP24" s="22" t="str">
        <f>'2013'!$Q29</f>
        <v>1183,3 (+281,9)</v>
      </c>
      <c r="AQ24" s="22">
        <f>'2014'!$Q29</f>
        <v>0</v>
      </c>
      <c r="AR24" s="21" t="s">
        <v>958</v>
      </c>
      <c r="AS24" s="22" t="s">
        <v>718</v>
      </c>
      <c r="AT24" s="59" t="str">
        <f>'2012'!S29</f>
        <v>1221.7 (+320.3)</v>
      </c>
      <c r="AU24" s="22" t="str">
        <f>'2013'!$S29</f>
        <v>1187,3 (+285,9)</v>
      </c>
      <c r="AV24" s="23">
        <f>'2014'!$S29</f>
        <v>0</v>
      </c>
      <c r="AW24" s="23">
        <f>'2015'!$S29</f>
        <v>0</v>
      </c>
    </row>
    <row r="25" spans="1:49" ht="17.25" thickBot="1" x14ac:dyDescent="0.35">
      <c r="A25" s="36" t="s">
        <v>1450</v>
      </c>
      <c r="B25" s="37">
        <v>0</v>
      </c>
      <c r="C25" s="38">
        <v>0</v>
      </c>
      <c r="D25" s="41">
        <f>(18.8+26.3+13.5)/3</f>
        <v>19.533333333333335</v>
      </c>
      <c r="E25" s="41">
        <f>'2013'!B30</f>
        <v>0</v>
      </c>
      <c r="F25" s="41">
        <f>'2014'!$B30</f>
        <v>0</v>
      </c>
      <c r="G25" s="37">
        <f>(27.2+24+20.8)/3</f>
        <v>24</v>
      </c>
      <c r="H25" s="41">
        <f>(21.9+21.4+18.1)/3</f>
        <v>20.466666666666665</v>
      </c>
      <c r="I25" s="41">
        <f>(37+44.5+28.8)/3</f>
        <v>36.766666666666666</v>
      </c>
      <c r="J25" s="41">
        <f>'2013'!$D30</f>
        <v>17.366666666666667</v>
      </c>
      <c r="K25" s="39">
        <f>'2014'!$D30</f>
        <v>9.0333333333333332</v>
      </c>
      <c r="L25" s="41">
        <f>(168.6+163.3+155.5)/3</f>
        <v>162.46666666666667</v>
      </c>
      <c r="M25" s="41">
        <f>(150.5+144.7+133.8)/3</f>
        <v>143</v>
      </c>
      <c r="N25" s="41">
        <f>(185+194.2+167.3)/3</f>
        <v>182.16666666666666</v>
      </c>
      <c r="O25" s="41">
        <f>'2013'!$F30</f>
        <v>155.9</v>
      </c>
      <c r="P25" s="41">
        <f>'2014'!$F30</f>
        <v>114.46666666666665</v>
      </c>
      <c r="Q25" s="36" t="s">
        <v>1162</v>
      </c>
      <c r="R25" s="41">
        <f>(378.2+366.6+354.3)/3</f>
        <v>366.36666666666662</v>
      </c>
      <c r="S25" s="41">
        <f>(372.6+360.6+345.1)/3</f>
        <v>359.43333333333339</v>
      </c>
      <c r="T25" s="41">
        <f>(423.9+427.8+399.3)/3</f>
        <v>417</v>
      </c>
      <c r="U25" s="41">
        <f>'2013'!$H30</f>
        <v>371.33333333333331</v>
      </c>
      <c r="V25" s="41">
        <f>'2014'!$H30</f>
        <v>353.5</v>
      </c>
      <c r="W25" s="37">
        <f>(741.6+729.6+709.2)/3</f>
        <v>726.80000000000007</v>
      </c>
      <c r="X25" s="41">
        <f>(697.9+693.9+644.4)/3</f>
        <v>678.73333333333323</v>
      </c>
      <c r="Y25" s="235">
        <f>'2012'!J31</f>
        <v>732.4</v>
      </c>
      <c r="Z25" s="41">
        <f>'2013'!$J30</f>
        <v>723</v>
      </c>
      <c r="AA25" s="41">
        <f>'2014'!$J30</f>
        <v>661.73333333333323</v>
      </c>
      <c r="AB25" s="40">
        <f>(1021.5+1019.7+981.7)/3</f>
        <v>1007.6333333333333</v>
      </c>
      <c r="AC25" s="41">
        <f>(981.9+976.8+924.5)/3</f>
        <v>961.06666666666661</v>
      </c>
      <c r="AD25" s="224">
        <f>'2012'!L31</f>
        <v>1059.0999999999999</v>
      </c>
      <c r="AE25" s="41">
        <f>'2013'!$L30</f>
        <v>994.66666666666663</v>
      </c>
      <c r="AF25" s="39">
        <f>'2014'!$L30</f>
        <v>931.5333333333333</v>
      </c>
      <c r="AG25" s="36" t="s">
        <v>1162</v>
      </c>
      <c r="AH25" s="37">
        <f>(1188.7+1184.2+1131.7)/3</f>
        <v>1168.2</v>
      </c>
      <c r="AI25" s="41">
        <f>(1163.8+1163.3+1109.3)/3</f>
        <v>1145.4666666666665</v>
      </c>
      <c r="AJ25" s="62">
        <v>1191.1666666666667</v>
      </c>
      <c r="AK25" s="41">
        <f>'2013'!$N30</f>
        <v>1124.2333333333333</v>
      </c>
      <c r="AL25" s="41">
        <f>'2014'!$N30</f>
        <v>1095.2</v>
      </c>
      <c r="AM25" s="40">
        <f>(1205.7+1203.4+1151.1)/3</f>
        <v>1186.7333333333333</v>
      </c>
      <c r="AN25" s="38">
        <f>(1204+1207.6+1145.5)/3</f>
        <v>1185.7</v>
      </c>
      <c r="AO25" s="62">
        <f>'2012'!P31</f>
        <v>1249.1333333333332</v>
      </c>
      <c r="AP25" s="41">
        <f>'2013'!$P30</f>
        <v>1177.2666666666667</v>
      </c>
      <c r="AQ25" s="41" t="e">
        <f>'2014'!$P30</f>
        <v>#DIV/0!</v>
      </c>
      <c r="AR25" s="40">
        <f>(1205.7+1203.4+1151.1)/3</f>
        <v>1186.7333333333333</v>
      </c>
      <c r="AS25" s="41">
        <f>(1214.3+1215.6+1151.4)/3</f>
        <v>1193.7666666666667</v>
      </c>
      <c r="AT25" s="62">
        <f>'2012'!R31</f>
        <v>1251.3333333333333</v>
      </c>
      <c r="AU25" s="41">
        <f>'2013'!$R30</f>
        <v>1181.7666666666667</v>
      </c>
      <c r="AV25" s="39" t="e">
        <f>'2014'!$R30</f>
        <v>#DIV/0!</v>
      </c>
      <c r="AW25" s="39" t="e">
        <f>'2015'!$R30</f>
        <v>#DIV/0!</v>
      </c>
    </row>
    <row r="26" spans="1:49" ht="16.5" x14ac:dyDescent="0.3">
      <c r="A26" s="24" t="s">
        <v>1136</v>
      </c>
      <c r="B26" s="28"/>
      <c r="C26" s="25"/>
      <c r="D26" s="25"/>
      <c r="E26" s="25"/>
      <c r="F26" s="25"/>
      <c r="G26" s="28"/>
      <c r="H26" s="25"/>
      <c r="I26" s="25"/>
      <c r="J26" s="25"/>
      <c r="K26" s="29"/>
      <c r="L26" s="25"/>
      <c r="M26" s="25"/>
      <c r="N26" s="25"/>
      <c r="O26" s="25"/>
      <c r="P26" s="25"/>
      <c r="Q26" s="24" t="s">
        <v>1136</v>
      </c>
      <c r="R26" s="25"/>
      <c r="S26" s="25"/>
      <c r="T26" s="25"/>
      <c r="U26" s="25"/>
      <c r="V26" s="25"/>
      <c r="W26" s="28"/>
      <c r="X26" s="25"/>
      <c r="Y26" s="232"/>
      <c r="Z26" s="25"/>
      <c r="AA26" s="25"/>
      <c r="AB26" s="28"/>
      <c r="AC26" s="25"/>
      <c r="AD26" s="222"/>
      <c r="AE26" s="25"/>
      <c r="AF26" s="29"/>
      <c r="AG26" s="24" t="s">
        <v>1136</v>
      </c>
      <c r="AH26" s="28"/>
      <c r="AI26" s="25"/>
      <c r="AJ26" s="60"/>
      <c r="AK26" s="25"/>
      <c r="AL26" s="25"/>
      <c r="AM26" s="28"/>
      <c r="AN26" s="25"/>
      <c r="AO26" s="60"/>
      <c r="AP26" s="25"/>
      <c r="AQ26" s="25"/>
      <c r="AR26" s="28"/>
      <c r="AS26" s="25"/>
      <c r="AT26" s="60"/>
      <c r="AU26" s="25"/>
      <c r="AV26" s="199"/>
      <c r="AW26" s="199"/>
    </row>
    <row r="27" spans="1:49" ht="15" x14ac:dyDescent="0.3">
      <c r="A27" s="27" t="s">
        <v>1137</v>
      </c>
      <c r="B27" s="21" t="s">
        <v>880</v>
      </c>
      <c r="C27" s="22" t="s">
        <v>880</v>
      </c>
      <c r="D27" s="22" t="s">
        <v>573</v>
      </c>
      <c r="E27" s="22" t="str">
        <f>'2013'!C32</f>
        <v>0,0 (0,0)</v>
      </c>
      <c r="F27" s="22" t="str">
        <f>'2014'!$C32</f>
        <v>0,0 (0,0)</v>
      </c>
      <c r="G27" s="21" t="s">
        <v>959</v>
      </c>
      <c r="H27" s="22" t="s">
        <v>719</v>
      </c>
      <c r="I27" s="22" t="s">
        <v>574</v>
      </c>
      <c r="J27" s="22" t="str">
        <f>'2013'!$E32</f>
        <v>4,0 (+4,0)</v>
      </c>
      <c r="K27" s="23" t="str">
        <f>'2014'!$E32</f>
        <v>0,0 (0,0)</v>
      </c>
      <c r="L27" s="22" t="s">
        <v>960</v>
      </c>
      <c r="M27" s="22" t="s">
        <v>720</v>
      </c>
      <c r="N27" s="22" t="s">
        <v>575</v>
      </c>
      <c r="O27" s="22" t="str">
        <f>'2013'!$G32</f>
        <v>103,6 (+40,2)</v>
      </c>
      <c r="P27" s="22" t="str">
        <f>'2014'!$G32</f>
        <v>90,6  (+33,0)</v>
      </c>
      <c r="Q27" s="27" t="s">
        <v>1137</v>
      </c>
      <c r="R27" s="22" t="s">
        <v>961</v>
      </c>
      <c r="S27" s="22" t="s">
        <v>721</v>
      </c>
      <c r="T27" s="56" t="s">
        <v>1175</v>
      </c>
      <c r="U27" s="22" t="str">
        <f>'2013'!$I32</f>
        <v>284,1 (+21,3)</v>
      </c>
      <c r="V27" s="22" t="str">
        <f>'2014'!$I32</f>
        <v>317,1 (+67,4)</v>
      </c>
      <c r="W27" s="21" t="s">
        <v>962</v>
      </c>
      <c r="X27" s="22" t="s">
        <v>722</v>
      </c>
      <c r="Y27" s="230" t="str">
        <f>'2012'!K32</f>
        <v>660.3 (+114.6)</v>
      </c>
      <c r="Z27" s="22" t="str">
        <f>'2013'!$K32</f>
        <v>592,9 (+47,2)</v>
      </c>
      <c r="AA27" s="22" t="str">
        <f>'2014'!$K32</f>
        <v>593,7 (+68,3)</v>
      </c>
      <c r="AB27" s="21" t="s">
        <v>963</v>
      </c>
      <c r="AC27" s="22" t="s">
        <v>723</v>
      </c>
      <c r="AD27" s="220" t="str">
        <f>'2012'!M32</f>
        <v>948,0 (+165,8)</v>
      </c>
      <c r="AE27" s="22" t="str">
        <f>'2013'!$M32</f>
        <v>844,1 (+61,9)</v>
      </c>
      <c r="AF27" s="23" t="str">
        <f>'2014'!$M32</f>
        <v>845,1 (+90,1)</v>
      </c>
      <c r="AG27" s="27" t="s">
        <v>1137</v>
      </c>
      <c r="AH27" s="21" t="s">
        <v>964</v>
      </c>
      <c r="AI27" s="22" t="s">
        <v>724</v>
      </c>
      <c r="AJ27" s="56" t="s">
        <v>1274</v>
      </c>
      <c r="AK27" s="22" t="str">
        <f>'2013'!$O32</f>
        <v>945,2 (+90,2)</v>
      </c>
      <c r="AL27" s="22" t="str">
        <f>'2014'!$O32</f>
        <v>970,8 (+146,6)</v>
      </c>
      <c r="AM27" s="21" t="s">
        <v>965</v>
      </c>
      <c r="AN27" s="22" t="s">
        <v>725</v>
      </c>
      <c r="AO27" s="59" t="str">
        <f>'2012'!Q32</f>
        <v>1081.3 (+226.2)</v>
      </c>
      <c r="AP27" s="22" t="str">
        <f>'2013'!$Q32</f>
        <v>983,7 (+128,6)</v>
      </c>
      <c r="AQ27" s="22">
        <f>'2014'!$Q32</f>
        <v>0</v>
      </c>
      <c r="AR27" s="21" t="s">
        <v>965</v>
      </c>
      <c r="AS27" s="22" t="s">
        <v>726</v>
      </c>
      <c r="AT27" s="59" t="str">
        <f>'2012'!S32</f>
        <v>1081.3 (+226.2)</v>
      </c>
      <c r="AU27" s="22" t="str">
        <f>'2013'!$S32</f>
        <v>985,7 (+130,6)</v>
      </c>
      <c r="AV27" s="23">
        <f>'2014'!$S32</f>
        <v>0</v>
      </c>
      <c r="AW27" s="23">
        <f>'2015'!$S32</f>
        <v>0</v>
      </c>
    </row>
    <row r="28" spans="1:49" ht="15" x14ac:dyDescent="0.3">
      <c r="A28" s="27" t="s">
        <v>1138</v>
      </c>
      <c r="B28" s="21" t="s">
        <v>880</v>
      </c>
      <c r="C28" s="22" t="s">
        <v>880</v>
      </c>
      <c r="D28" s="22" t="s">
        <v>576</v>
      </c>
      <c r="E28" s="22" t="str">
        <f>'2013'!C33</f>
        <v>0,0 (0,0)</v>
      </c>
      <c r="F28" s="22" t="str">
        <f>'2014'!$C33</f>
        <v>0,0 (0,0)</v>
      </c>
      <c r="G28" s="21" t="s">
        <v>966</v>
      </c>
      <c r="H28" s="22" t="s">
        <v>727</v>
      </c>
      <c r="I28" s="22" t="s">
        <v>577</v>
      </c>
      <c r="J28" s="22" t="str">
        <f>'2013'!$E33</f>
        <v>15,8 (+15,3)</v>
      </c>
      <c r="K28" s="23" t="str">
        <f>'2014'!$E33</f>
        <v>1,0 (+0,5)</v>
      </c>
      <c r="L28" s="22" t="s">
        <v>967</v>
      </c>
      <c r="M28" s="22" t="s">
        <v>728</v>
      </c>
      <c r="N28" s="22" t="s">
        <v>578</v>
      </c>
      <c r="O28" s="22" t="str">
        <f>'2013'!$G33</f>
        <v>163,0 (+65,6)</v>
      </c>
      <c r="P28" s="22" t="str">
        <f>'2014'!$G33</f>
        <v>124,4  (+28,6)</v>
      </c>
      <c r="Q28" s="27" t="s">
        <v>1138</v>
      </c>
      <c r="R28" s="22" t="s">
        <v>968</v>
      </c>
      <c r="S28" s="22" t="s">
        <v>729</v>
      </c>
      <c r="T28" s="56" t="s">
        <v>1176</v>
      </c>
      <c r="U28" s="22" t="str">
        <f>'2013'!$I33</f>
        <v>379,5 (+43,7)</v>
      </c>
      <c r="V28" s="22" t="str">
        <f>'2014'!$I33</f>
        <v>391,7 (+58,0)</v>
      </c>
      <c r="W28" s="21" t="s">
        <v>969</v>
      </c>
      <c r="X28" s="22" t="s">
        <v>730</v>
      </c>
      <c r="Y28" s="230" t="str">
        <f>'2012'!K33</f>
        <v>807.2 (+148.4)</v>
      </c>
      <c r="Z28" s="22" t="str">
        <f>'2013'!$K33</f>
        <v>729,2 (+70,3)</v>
      </c>
      <c r="AA28" s="22" t="str">
        <f>'2014'!$K33</f>
        <v>704,2 (+47,8)</v>
      </c>
      <c r="AB28" s="21" t="s">
        <v>970</v>
      </c>
      <c r="AC28" s="22" t="s">
        <v>731</v>
      </c>
      <c r="AD28" s="220" t="str">
        <f>'2012'!M33</f>
        <v>1139,3 (+202,9)</v>
      </c>
      <c r="AE28" s="22" t="str">
        <f>'2013'!$M33</f>
        <v>1012,9 (+76,5)</v>
      </c>
      <c r="AF28" s="23" t="str">
        <f>'2014'!$M33</f>
        <v>992,3 (+57,9)</v>
      </c>
      <c r="AG28" s="27" t="s">
        <v>1138</v>
      </c>
      <c r="AH28" s="21" t="s">
        <v>971</v>
      </c>
      <c r="AI28" s="22" t="s">
        <v>732</v>
      </c>
      <c r="AJ28" s="56" t="s">
        <v>1275</v>
      </c>
      <c r="AK28" s="22" t="str">
        <f>'2013'!$O33</f>
        <v>1143,4 (+96,4)</v>
      </c>
      <c r="AL28" s="22" t="str">
        <f>'2014'!$O33</f>
        <v>1146,9 (+99,5)</v>
      </c>
      <c r="AM28" s="21" t="s">
        <v>972</v>
      </c>
      <c r="AN28" s="22" t="s">
        <v>733</v>
      </c>
      <c r="AO28" s="59" t="str">
        <f>'2012'!Q33</f>
        <v>1331.8 (+284.1)</v>
      </c>
      <c r="AP28" s="22" t="str">
        <f>'2013'!$Q33</f>
        <v>1201,9 (+154,2)</v>
      </c>
      <c r="AQ28" s="22">
        <f>'2014'!$Q33</f>
        <v>0</v>
      </c>
      <c r="AR28" s="21" t="s">
        <v>972</v>
      </c>
      <c r="AS28" s="22" t="s">
        <v>734</v>
      </c>
      <c r="AT28" s="59" t="str">
        <f>'2012'!S33</f>
        <v>1331.8 (+284.1)</v>
      </c>
      <c r="AU28" s="22" t="str">
        <f>'2013'!$S33</f>
        <v>1205,0 (+157,3)</v>
      </c>
      <c r="AV28" s="23">
        <f>'2014'!$S33</f>
        <v>0</v>
      </c>
      <c r="AW28" s="23">
        <f>'2015'!$S33</f>
        <v>0</v>
      </c>
    </row>
    <row r="29" spans="1:49" ht="17.25" thickBot="1" x14ac:dyDescent="0.35">
      <c r="A29" s="32" t="s">
        <v>1451</v>
      </c>
      <c r="B29" s="33">
        <v>0</v>
      </c>
      <c r="C29" s="34">
        <v>0</v>
      </c>
      <c r="D29" s="34">
        <f>(30.1+12.6)/2</f>
        <v>21.35</v>
      </c>
      <c r="E29" s="34">
        <f>'2013'!B34</f>
        <v>0</v>
      </c>
      <c r="F29" s="34">
        <f>'2014'!$B34</f>
        <v>0</v>
      </c>
      <c r="G29" s="33">
        <f>(2.5+25.9)/2</f>
        <v>14.2</v>
      </c>
      <c r="H29" s="34">
        <f>(1.2+10)/2</f>
        <v>5.6</v>
      </c>
      <c r="I29" s="34">
        <f>(11.8+28.2)/2</f>
        <v>20</v>
      </c>
      <c r="J29" s="34">
        <f>'2013'!$D34</f>
        <v>9.9</v>
      </c>
      <c r="K29" s="35">
        <f>'2014'!$D34</f>
        <v>0.5</v>
      </c>
      <c r="L29" s="43">
        <f>(126.6+212.8)/2</f>
        <v>169.7</v>
      </c>
      <c r="M29" s="43">
        <f>(74+117.7)/2</f>
        <v>95.85</v>
      </c>
      <c r="N29" s="43">
        <f>(129.5+187.4)/2</f>
        <v>158.44999999999999</v>
      </c>
      <c r="O29" s="34">
        <f>'2013'!$F34</f>
        <v>133.30000000000001</v>
      </c>
      <c r="P29" s="34">
        <f>'2014'!$F34</f>
        <v>107.5</v>
      </c>
      <c r="Q29" s="32" t="s">
        <v>1162</v>
      </c>
      <c r="R29" s="43">
        <f>(318.8+460.9)/2</f>
        <v>389.85</v>
      </c>
      <c r="S29" s="43">
        <f>(278+380.6)/2</f>
        <v>329.3</v>
      </c>
      <c r="T29" s="43">
        <f>(352.5+457.4)/2</f>
        <v>404.95</v>
      </c>
      <c r="U29" s="34">
        <f>'2013'!$H34</f>
        <v>331.8</v>
      </c>
      <c r="V29" s="34">
        <f>'2014'!$H34</f>
        <v>354.4</v>
      </c>
      <c r="W29" s="42">
        <f>(650.7+843.5)/2</f>
        <v>747.1</v>
      </c>
      <c r="X29" s="43">
        <f>(601.3+758.4)/2</f>
        <v>679.84999999999991</v>
      </c>
      <c r="Y29" s="233">
        <f>'2012'!J35</f>
        <v>733.55</v>
      </c>
      <c r="Z29" s="34">
        <f>'2013'!$J34</f>
        <v>661.05</v>
      </c>
      <c r="AA29" s="34">
        <f>'2014'!$J34</f>
        <v>648.95000000000005</v>
      </c>
      <c r="AB29" s="42">
        <f>(908.9+1156.8)/2</f>
        <v>1032.8499999999999</v>
      </c>
      <c r="AC29" s="43">
        <f>(865.9+1071.2)/2</f>
        <v>968.55</v>
      </c>
      <c r="AD29" s="223">
        <f>'2012'!L35</f>
        <v>1043.6500000000001</v>
      </c>
      <c r="AE29" s="34">
        <f>'2013'!$L34</f>
        <v>928.5</v>
      </c>
      <c r="AF29" s="35">
        <f>'2014'!$L34</f>
        <v>918.7</v>
      </c>
      <c r="AG29" s="32" t="s">
        <v>1162</v>
      </c>
      <c r="AH29" s="42">
        <f>(1035.3+1321.7)/2</f>
        <v>1178.5</v>
      </c>
      <c r="AI29" s="43">
        <f>(1014.6+1273.5)/2</f>
        <v>1144.05</v>
      </c>
      <c r="AJ29" s="61">
        <v>1171.55</v>
      </c>
      <c r="AK29" s="34">
        <f>'2013'!$N34</f>
        <v>1044.3000000000002</v>
      </c>
      <c r="AL29" s="34">
        <f>'2014'!$N34</f>
        <v>1058.8</v>
      </c>
      <c r="AM29" s="33">
        <f>(1043+1337.4)/2</f>
        <v>1190.2</v>
      </c>
      <c r="AN29" s="43">
        <f>(1038.1+1315.2)/2</f>
        <v>1176.6500000000001</v>
      </c>
      <c r="AO29" s="61">
        <f>'2012'!P35</f>
        <v>1206.55</v>
      </c>
      <c r="AP29" s="34">
        <f>'2013'!$P34</f>
        <v>1092.8000000000002</v>
      </c>
      <c r="AQ29" s="34" t="e">
        <f>'2014'!$P34</f>
        <v>#DIV/0!</v>
      </c>
      <c r="AR29" s="33">
        <f>(1043+1337.4)/2</f>
        <v>1190.2</v>
      </c>
      <c r="AS29" s="34">
        <f>(1038.7+1317.8)/2</f>
        <v>1178.25</v>
      </c>
      <c r="AT29" s="61">
        <f>'2012'!R35</f>
        <v>1206.55</v>
      </c>
      <c r="AU29" s="34">
        <f>'2013'!$R34</f>
        <v>1095.3499999999999</v>
      </c>
      <c r="AV29" s="35" t="e">
        <f>'2014'!$R34</f>
        <v>#DIV/0!</v>
      </c>
      <c r="AW29" s="35" t="e">
        <f>'2015'!$R34</f>
        <v>#DIV/0!</v>
      </c>
    </row>
    <row r="30" spans="1:49" ht="16.5" x14ac:dyDescent="0.3">
      <c r="A30" s="24" t="s">
        <v>1139</v>
      </c>
      <c r="B30" s="28"/>
      <c r="C30" s="25"/>
      <c r="D30" s="25"/>
      <c r="E30" s="25"/>
      <c r="F30" s="25"/>
      <c r="G30" s="28"/>
      <c r="H30" s="25"/>
      <c r="I30" s="25"/>
      <c r="J30" s="25"/>
      <c r="K30" s="29"/>
      <c r="L30" s="25"/>
      <c r="M30" s="25"/>
      <c r="N30" s="25"/>
      <c r="O30" s="25"/>
      <c r="P30" s="25"/>
      <c r="Q30" s="24" t="s">
        <v>1139</v>
      </c>
      <c r="R30" s="25"/>
      <c r="S30" s="25"/>
      <c r="T30" s="25"/>
      <c r="U30" s="25"/>
      <c r="V30" s="25"/>
      <c r="W30" s="28"/>
      <c r="X30" s="25"/>
      <c r="Y30" s="232"/>
      <c r="Z30" s="25"/>
      <c r="AA30" s="25"/>
      <c r="AB30" s="28"/>
      <c r="AC30" s="25"/>
      <c r="AD30" s="222" t="s">
        <v>1338</v>
      </c>
      <c r="AE30" s="25"/>
      <c r="AF30" s="29"/>
      <c r="AG30" s="24" t="s">
        <v>1139</v>
      </c>
      <c r="AH30" s="28"/>
      <c r="AI30" s="25"/>
      <c r="AJ30" s="60"/>
      <c r="AK30" s="25"/>
      <c r="AL30" s="25"/>
      <c r="AM30" s="28"/>
      <c r="AN30" s="25"/>
      <c r="AO30" s="60"/>
      <c r="AP30" s="25"/>
      <c r="AQ30" s="25"/>
      <c r="AR30" s="28"/>
      <c r="AS30" s="25"/>
      <c r="AT30" s="60"/>
      <c r="AU30" s="25"/>
      <c r="AV30" s="196"/>
      <c r="AW30" s="196"/>
    </row>
    <row r="31" spans="1:49" ht="15" x14ac:dyDescent="0.3">
      <c r="A31" s="27" t="s">
        <v>1140</v>
      </c>
      <c r="B31" s="21" t="s">
        <v>880</v>
      </c>
      <c r="C31" s="22" t="s">
        <v>880</v>
      </c>
      <c r="D31" s="22" t="s">
        <v>579</v>
      </c>
      <c r="E31" s="22" t="str">
        <f>'2013'!C36</f>
        <v>0,0 (0,0)</v>
      </c>
      <c r="F31" s="22" t="str">
        <f>'2014'!$C36</f>
        <v>0,0 (0,0)</v>
      </c>
      <c r="G31" s="21" t="s">
        <v>924</v>
      </c>
      <c r="H31" s="22" t="s">
        <v>735</v>
      </c>
      <c r="I31" s="22" t="s">
        <v>580</v>
      </c>
      <c r="J31" s="22" t="str">
        <f>'2013'!$E36</f>
        <v>6,1 (+6,1)</v>
      </c>
      <c r="K31" s="23" t="str">
        <f>'2014'!$E36</f>
        <v>1,2 (+1,2)</v>
      </c>
      <c r="L31" s="22" t="s">
        <v>973</v>
      </c>
      <c r="M31" s="22" t="s">
        <v>736</v>
      </c>
      <c r="N31" s="22" t="s">
        <v>581</v>
      </c>
      <c r="O31" s="22" t="str">
        <f>'2013'!$G36</f>
        <v>108,5 (+60,3)</v>
      </c>
      <c r="P31" s="22" t="str">
        <f>'2014'!$G36</f>
        <v>101  (+56,3)</v>
      </c>
      <c r="Q31" s="27" t="s">
        <v>1140</v>
      </c>
      <c r="R31" s="22" t="s">
        <v>974</v>
      </c>
      <c r="S31" s="22" t="s">
        <v>737</v>
      </c>
      <c r="T31" s="56" t="s">
        <v>1177</v>
      </c>
      <c r="U31" s="22" t="str">
        <f>'2013'!$I36</f>
        <v>290,6 (+70,5)</v>
      </c>
      <c r="V31" s="22" t="str">
        <f>'2014'!$I36</f>
        <v>323 (+109,9)</v>
      </c>
      <c r="W31" s="21" t="s">
        <v>975</v>
      </c>
      <c r="X31" s="22" t="s">
        <v>738</v>
      </c>
      <c r="Y31" s="230" t="str">
        <f>'2012'!K36</f>
        <v>664.3 (+194.4)</v>
      </c>
      <c r="Z31" s="22" t="str">
        <f>'2013'!$K36</f>
        <v>596,8 (+126,9)</v>
      </c>
      <c r="AA31" s="22" t="str">
        <f>'2014'!$K36</f>
        <v>571,8 (+111,7)</v>
      </c>
      <c r="AB31" s="21" t="s">
        <v>976</v>
      </c>
      <c r="AC31" s="22" t="s">
        <v>739</v>
      </c>
      <c r="AD31" s="220" t="str">
        <f>'2012'!M36</f>
        <v>940,4 (+265,0)</v>
      </c>
      <c r="AE31" s="22" t="str">
        <f>'2013'!$M36</f>
        <v>843,3 (+168,0)</v>
      </c>
      <c r="AF31" s="23" t="str">
        <f>'2014'!$M36</f>
        <v>809,9 (+146,1)</v>
      </c>
      <c r="AG31" s="27" t="s">
        <v>1140</v>
      </c>
      <c r="AH31" s="21" t="s">
        <v>977</v>
      </c>
      <c r="AI31" s="22" t="s">
        <v>740</v>
      </c>
      <c r="AJ31" s="56" t="s">
        <v>1276</v>
      </c>
      <c r="AK31" s="22" t="str">
        <f>'2013'!$O36</f>
        <v>937,7 (+207,0)</v>
      </c>
      <c r="AL31" s="22" t="str">
        <f>'2014'!$O36</f>
        <v>937,0 (+217,8)</v>
      </c>
      <c r="AM31" s="21" t="s">
        <v>978</v>
      </c>
      <c r="AN31" s="22" t="s">
        <v>741</v>
      </c>
      <c r="AO31" s="59" t="str">
        <f>'2012'!Q36</f>
        <v>1081.1 (+350.5)</v>
      </c>
      <c r="AP31" s="22" t="str">
        <f>'2013'!$Q36</f>
        <v>979,2 (+248,5)</v>
      </c>
      <c r="AQ31" s="22">
        <f>'2014'!$Q36</f>
        <v>0</v>
      </c>
      <c r="AR31" s="21" t="s">
        <v>978</v>
      </c>
      <c r="AS31" s="22" t="s">
        <v>742</v>
      </c>
      <c r="AT31" s="59" t="str">
        <f>'2012'!S36</f>
        <v>1081.1 (+350.5)</v>
      </c>
      <c r="AU31" s="22" t="str">
        <f>'2013'!$S36</f>
        <v>979,5 (+248,8)</v>
      </c>
      <c r="AV31" s="23">
        <f>'2014'!$S36</f>
        <v>0</v>
      </c>
      <c r="AW31" s="23">
        <f>'2015'!$S36</f>
        <v>0</v>
      </c>
    </row>
    <row r="32" spans="1:49" ht="15" x14ac:dyDescent="0.3">
      <c r="A32" s="27" t="s">
        <v>1141</v>
      </c>
      <c r="B32" s="21" t="s">
        <v>979</v>
      </c>
      <c r="C32" s="22" t="s">
        <v>979</v>
      </c>
      <c r="D32" s="22" t="s">
        <v>582</v>
      </c>
      <c r="E32" s="22" t="str">
        <f>'2013'!C37</f>
        <v>0,0 (n/d)</v>
      </c>
      <c r="F32" s="22" t="str">
        <f>'2014'!$C37</f>
        <v>0,0 (n/d)</v>
      </c>
      <c r="G32" s="21" t="s">
        <v>980</v>
      </c>
      <c r="H32" s="22" t="s">
        <v>743</v>
      </c>
      <c r="I32" s="22" t="s">
        <v>583</v>
      </c>
      <c r="J32" s="22" t="str">
        <f>'2013'!$E37</f>
        <v>15,3 (n/d)</v>
      </c>
      <c r="K32" s="23" t="str">
        <f>'2014'!$E37</f>
        <v>1,4 (n/d)</v>
      </c>
      <c r="L32" s="22" t="s">
        <v>981</v>
      </c>
      <c r="M32" s="22" t="s">
        <v>744</v>
      </c>
      <c r="N32" s="22" t="s">
        <v>584</v>
      </c>
      <c r="O32" s="22" t="str">
        <f>'2013'!$G37</f>
        <v>159,9 (n/d)</v>
      </c>
      <c r="P32" s="22" t="str">
        <f>'2014'!$G37</f>
        <v>119,3  (+24,4)</v>
      </c>
      <c r="Q32" s="27" t="s">
        <v>1141</v>
      </c>
      <c r="R32" s="22" t="s">
        <v>982</v>
      </c>
      <c r="S32" s="22" t="s">
        <v>745</v>
      </c>
      <c r="T32" s="56" t="s">
        <v>1178</v>
      </c>
      <c r="U32" s="22" t="str">
        <f>'2013'!$I37</f>
        <v>361,0 (n/d)</v>
      </c>
      <c r="V32" s="22" t="str">
        <f>'2014'!$I37</f>
        <v>371,3 (+44,3)</v>
      </c>
      <c r="W32" s="21" t="s">
        <v>983</v>
      </c>
      <c r="X32" s="22" t="s">
        <v>746</v>
      </c>
      <c r="Y32" s="230" t="str">
        <f>'2012'!K37</f>
        <v>782.9 (n/d)</v>
      </c>
      <c r="Z32" s="22" t="str">
        <f>'2013'!$K37</f>
        <v>701,8 (n/d)</v>
      </c>
      <c r="AA32" s="22" t="str">
        <f>'2014'!$K37</f>
        <v>657,8 (+12,1)</v>
      </c>
      <c r="AB32" s="21" t="s">
        <v>984</v>
      </c>
      <c r="AC32" s="22" t="s">
        <v>747</v>
      </c>
      <c r="AD32" s="220" t="str">
        <f>'2012'!M37</f>
        <v>1103,0 (n/d)</v>
      </c>
      <c r="AE32" s="22" t="str">
        <f>'2013'!$M37</f>
        <v>977,7 (n/d)</v>
      </c>
      <c r="AF32" s="23" t="str">
        <f>'2014'!$M37</f>
        <v>942,3 (+22,3)</v>
      </c>
      <c r="AG32" s="27" t="s">
        <v>1141</v>
      </c>
      <c r="AH32" s="21" t="s">
        <v>985</v>
      </c>
      <c r="AI32" s="22" t="s">
        <v>748</v>
      </c>
      <c r="AJ32" s="56" t="s">
        <v>1277</v>
      </c>
      <c r="AK32" s="22" t="str">
        <f>'2013'!$O37</f>
        <v>1096,7 (n/d)</v>
      </c>
      <c r="AL32" s="22" t="str">
        <f>'2014'!$O37</f>
        <v>1117,9 (+85,5)</v>
      </c>
      <c r="AM32" s="21" t="s">
        <v>986</v>
      </c>
      <c r="AN32" s="22" t="s">
        <v>749</v>
      </c>
      <c r="AO32" s="59" t="str">
        <f>'2012'!Q37</f>
        <v>1316.4 (n/d)</v>
      </c>
      <c r="AP32" s="22" t="str">
        <f>'2013'!$Q37</f>
        <v>1157,8 (n/d)</v>
      </c>
      <c r="AQ32" s="22">
        <f>'2014'!$Q37</f>
        <v>0</v>
      </c>
      <c r="AR32" s="21" t="s">
        <v>986</v>
      </c>
      <c r="AS32" s="22" t="s">
        <v>750</v>
      </c>
      <c r="AT32" s="59" t="str">
        <f>'2012'!S37</f>
        <v>1316.4 (n/d)</v>
      </c>
      <c r="AU32" s="22" t="str">
        <f>'2013'!$S37</f>
        <v>1159,8 (n/d)</v>
      </c>
      <c r="AV32" s="23">
        <f>'2014'!$S37</f>
        <v>0</v>
      </c>
      <c r="AW32" s="23">
        <f>'2015'!$S37</f>
        <v>0</v>
      </c>
    </row>
    <row r="33" spans="1:49" ht="15" x14ac:dyDescent="0.3">
      <c r="A33" s="27" t="s">
        <v>1142</v>
      </c>
      <c r="B33" s="21" t="s">
        <v>880</v>
      </c>
      <c r="C33" s="22" t="s">
        <v>880</v>
      </c>
      <c r="D33" s="22" t="s">
        <v>585</v>
      </c>
      <c r="E33" s="22" t="str">
        <f>'2013'!C38</f>
        <v>0,0 (0,0)</v>
      </c>
      <c r="F33" s="22" t="str">
        <f>'2014'!$C38</f>
        <v>0,0 (0,0)</v>
      </c>
      <c r="G33" s="21" t="s">
        <v>987</v>
      </c>
      <c r="H33" s="22" t="s">
        <v>751</v>
      </c>
      <c r="I33" s="22" t="s">
        <v>586</v>
      </c>
      <c r="J33" s="22" t="str">
        <f>'2013'!$E38</f>
        <v>20,6 (+19,8)</v>
      </c>
      <c r="K33" s="23" t="str">
        <f>'2014'!$E38</f>
        <v>3,9 (+3,1)</v>
      </c>
      <c r="L33" s="22" t="s">
        <v>988</v>
      </c>
      <c r="M33" s="22" t="s">
        <v>752</v>
      </c>
      <c r="N33" s="22" t="s">
        <v>587</v>
      </c>
      <c r="O33" s="22" t="str">
        <f>'2013'!$G38</f>
        <v>176,8 (+77,7)</v>
      </c>
      <c r="P33" s="22" t="str">
        <f>'2014'!$G38</f>
        <v>120,7  (+18,7)</v>
      </c>
      <c r="Q33" s="27" t="s">
        <v>1142</v>
      </c>
      <c r="R33" s="22" t="s">
        <v>989</v>
      </c>
      <c r="S33" s="22" t="s">
        <v>753</v>
      </c>
      <c r="T33" s="56" t="s">
        <v>1179</v>
      </c>
      <c r="U33" s="22" t="str">
        <f>'2013'!$I38</f>
        <v>383,4 (+48,4)</v>
      </c>
      <c r="V33" s="22" t="str">
        <f>'2014'!$I38</f>
        <v>386 (+44,2)</v>
      </c>
      <c r="W33" s="21" t="s">
        <v>990</v>
      </c>
      <c r="X33" s="22" t="s">
        <v>754</v>
      </c>
      <c r="Y33" s="230" t="str">
        <f>'2012'!K38</f>
        <v>837.4 (+180.3)</v>
      </c>
      <c r="Z33" s="22" t="str">
        <f>'2013'!$K38</f>
        <v>723,1 (+66,0)</v>
      </c>
      <c r="AA33" s="22" t="str">
        <f>'2014'!$K38</f>
        <v>693,3 (+23,5)</v>
      </c>
      <c r="AB33" s="21" t="s">
        <v>991</v>
      </c>
      <c r="AC33" s="22" t="s">
        <v>755</v>
      </c>
      <c r="AD33" s="220" t="str">
        <f>'2012'!M38</f>
        <v>1175,2 (+240,1)</v>
      </c>
      <c r="AE33" s="22" t="str">
        <f>'2013'!$M38</f>
        <v>1005,9 (+70,8)</v>
      </c>
      <c r="AF33" s="23" t="str">
        <f>'2014'!$M38</f>
        <v>980,3 (+28,1)</v>
      </c>
      <c r="AG33" s="27" t="s">
        <v>1142</v>
      </c>
      <c r="AH33" s="21" t="s">
        <v>992</v>
      </c>
      <c r="AI33" s="22" t="s">
        <v>756</v>
      </c>
      <c r="AJ33" s="56" t="s">
        <v>1278</v>
      </c>
      <c r="AK33" s="22" t="str">
        <f>'2013'!$O38</f>
        <v>1144,1 (+92,5)</v>
      </c>
      <c r="AL33" s="22" t="str">
        <f>'2014'!$O38</f>
        <v>1151,1 (+75,1)</v>
      </c>
      <c r="AM33" s="21" t="s">
        <v>993</v>
      </c>
      <c r="AN33" s="22" t="s">
        <v>757</v>
      </c>
      <c r="AO33" s="59" t="str">
        <f>'2012'!Q38</f>
        <v>1378.0 (+325.3)</v>
      </c>
      <c r="AP33" s="22" t="str">
        <f>'2013'!$Q38</f>
        <v>1215,4 (+162,7)</v>
      </c>
      <c r="AQ33" s="22">
        <f>'2014'!$Q38</f>
        <v>0</v>
      </c>
      <c r="AR33" s="21" t="s">
        <v>993</v>
      </c>
      <c r="AS33" s="22" t="s">
        <v>758</v>
      </c>
      <c r="AT33" s="59" t="str">
        <f>'2012'!S38</f>
        <v>1378.0 (+325.3)</v>
      </c>
      <c r="AU33" s="22" t="str">
        <f>'2013'!$S38</f>
        <v>1218,9 (+166,2)</v>
      </c>
      <c r="AV33" s="23">
        <f>'2014'!$S38</f>
        <v>0</v>
      </c>
      <c r="AW33" s="23">
        <f>'2015'!$S38</f>
        <v>0</v>
      </c>
    </row>
    <row r="34" spans="1:49" ht="17.25" thickBot="1" x14ac:dyDescent="0.35">
      <c r="A34" s="32" t="s">
        <v>1452</v>
      </c>
      <c r="B34" s="33">
        <v>0</v>
      </c>
      <c r="C34" s="34">
        <v>0</v>
      </c>
      <c r="D34" s="43">
        <f>(9.3+15.9+27.5)/3</f>
        <v>17.566666666666666</v>
      </c>
      <c r="E34" s="43">
        <f>'2013'!B39</f>
        <v>0</v>
      </c>
      <c r="F34" s="43">
        <f>'2014'!$B39</f>
        <v>0</v>
      </c>
      <c r="G34" s="42">
        <f>(9.2+27+27)/3</f>
        <v>21.066666666666666</v>
      </c>
      <c r="H34" s="43">
        <f>(11.9+11.9+12.1)/3</f>
        <v>11.966666666666667</v>
      </c>
      <c r="I34" s="43">
        <f>(19.1+28.7+45.1)/3</f>
        <v>30.966666666666669</v>
      </c>
      <c r="J34" s="43">
        <f>'2013'!$D39</f>
        <v>14</v>
      </c>
      <c r="K34" s="44">
        <f>'2014'!$D39</f>
        <v>2.1666666666666665</v>
      </c>
      <c r="L34" s="43">
        <f>(141.4+205.5+204.6)/3</f>
        <v>183.83333333333334</v>
      </c>
      <c r="M34" s="43">
        <f>(98.6+131.7+125.6)/3</f>
        <v>118.63333333333333</v>
      </c>
      <c r="N34" s="43">
        <f>(144.4+183.9+210)/3</f>
        <v>179.43333333333331</v>
      </c>
      <c r="O34" s="43">
        <f>'2013'!$F39</f>
        <v>148.4</v>
      </c>
      <c r="P34" s="43">
        <f>'2014'!$F39</f>
        <v>113.66666666666667</v>
      </c>
      <c r="Q34" s="32" t="s">
        <v>1162</v>
      </c>
      <c r="R34" s="43">
        <f>(309.3+439.6+434.2)/3</f>
        <v>394.36666666666673</v>
      </c>
      <c r="S34" s="43">
        <f>(310.8+391.8+381.2)/3</f>
        <v>361.26666666666665</v>
      </c>
      <c r="T34" s="43">
        <f>(371.8+448+474.4)/3</f>
        <v>431.39999999999992</v>
      </c>
      <c r="U34" s="43">
        <f>'2013'!$H39</f>
        <v>345</v>
      </c>
      <c r="V34" s="43">
        <f>'2014'!$H39</f>
        <v>360.09999999999997</v>
      </c>
      <c r="W34" s="42">
        <f>(623.3+813.8+807.1)/3</f>
        <v>748.06666666666661</v>
      </c>
      <c r="X34" s="43">
        <f>(620.4+758.8+763.1)/3</f>
        <v>714.09999999999991</v>
      </c>
      <c r="Y34" s="233">
        <f>'2012'!J39</f>
        <v>761.30000000000007</v>
      </c>
      <c r="Z34" s="43">
        <f>'2013'!$J39</f>
        <v>673.9</v>
      </c>
      <c r="AA34" s="43">
        <f>'2014'!$J39</f>
        <v>640.96666666666658</v>
      </c>
      <c r="AB34" s="42">
        <f>(878.7+1122.4+1109.4)/3</f>
        <v>1036.8333333333333</v>
      </c>
      <c r="AC34" s="43">
        <f>(881.4+1074.2+1084.7)/3</f>
        <v>1013.4333333333334</v>
      </c>
      <c r="AD34" s="225">
        <f>'2012'!L39</f>
        <v>1072.8666666666668</v>
      </c>
      <c r="AE34" s="43">
        <f>'2013'!$L39</f>
        <v>942.30000000000007</v>
      </c>
      <c r="AF34" s="44">
        <f>'2014'!$L39</f>
        <v>910.83333333333337</v>
      </c>
      <c r="AG34" s="32" t="s">
        <v>1162</v>
      </c>
      <c r="AH34" s="42">
        <f>(998.4+1280.3+1267.2)/3</f>
        <v>1181.9666666666665</v>
      </c>
      <c r="AI34" s="43">
        <f>(1040.9+1285.5+1294.7)/3</f>
        <v>1207.0333333333335</v>
      </c>
      <c r="AJ34" s="64">
        <v>1214.5999999999999</v>
      </c>
      <c r="AK34" s="43">
        <f>'2013'!$N39</f>
        <v>1059.5</v>
      </c>
      <c r="AL34" s="43">
        <f>'2014'!$N39</f>
        <v>1068.6333333333334</v>
      </c>
      <c r="AM34" s="33">
        <f>(1008.4+1301.3+1287)/3</f>
        <v>1198.8999999999999</v>
      </c>
      <c r="AN34" s="34">
        <f>(1066.5+1329.5+1337.5)/3</f>
        <v>1244.5</v>
      </c>
      <c r="AO34" s="61">
        <f>'2012'!P35</f>
        <v>1206.55</v>
      </c>
      <c r="AP34" s="43">
        <f>'2013'!$P39</f>
        <v>1117.4666666666667</v>
      </c>
      <c r="AQ34" s="43" t="e">
        <f>'2014'!$P39</f>
        <v>#DIV/0!</v>
      </c>
      <c r="AR34" s="33">
        <f>(1008.4+1301.3+1287)/3</f>
        <v>1198.8999999999999</v>
      </c>
      <c r="AS34" s="43">
        <f>(1068.2+1332.4+1342.4)/3</f>
        <v>1247.6666666666667</v>
      </c>
      <c r="AT34" s="61">
        <f>'2012'!R35</f>
        <v>1206.55</v>
      </c>
      <c r="AU34" s="43">
        <f>'2013'!$R39</f>
        <v>1119.4000000000001</v>
      </c>
      <c r="AV34" s="44" t="e">
        <f>'2014'!$R39</f>
        <v>#DIV/0!</v>
      </c>
      <c r="AW34" s="44" t="e">
        <f>'2015'!$R39</f>
        <v>#DIV/0!</v>
      </c>
    </row>
    <row r="35" spans="1:49" ht="16.5" x14ac:dyDescent="0.3">
      <c r="A35" s="26" t="s">
        <v>1341</v>
      </c>
      <c r="B35" s="21"/>
      <c r="C35" s="22"/>
      <c r="D35" s="79"/>
      <c r="E35" s="79"/>
      <c r="F35" s="79"/>
      <c r="G35" s="80"/>
      <c r="H35" s="79"/>
      <c r="I35" s="79"/>
      <c r="J35" s="79"/>
      <c r="K35" s="81"/>
      <c r="L35" s="79"/>
      <c r="M35" s="79"/>
      <c r="N35" s="79"/>
      <c r="O35" s="79"/>
      <c r="P35" s="79"/>
      <c r="Q35" s="24" t="s">
        <v>1341</v>
      </c>
      <c r="R35" s="79"/>
      <c r="S35" s="79"/>
      <c r="T35" s="79"/>
      <c r="U35" s="79"/>
      <c r="V35" s="79"/>
      <c r="W35" s="80"/>
      <c r="X35" s="79"/>
      <c r="Y35" s="236"/>
      <c r="Z35" s="79"/>
      <c r="AA35" s="79"/>
      <c r="AB35" s="80"/>
      <c r="AC35" s="79"/>
      <c r="AD35" s="226"/>
      <c r="AE35" s="89"/>
      <c r="AF35" s="91"/>
      <c r="AG35" s="54" t="s">
        <v>1341</v>
      </c>
      <c r="AH35" s="80"/>
      <c r="AI35" s="79"/>
      <c r="AJ35" s="59"/>
      <c r="AK35" s="79"/>
      <c r="AL35" s="79"/>
      <c r="AM35" s="21"/>
      <c r="AN35" s="22"/>
      <c r="AO35" s="82"/>
      <c r="AP35" s="79"/>
      <c r="AQ35" s="79"/>
      <c r="AR35" s="88"/>
      <c r="AS35" s="89"/>
      <c r="AT35" s="90"/>
      <c r="AU35" s="89"/>
      <c r="AV35" s="199"/>
      <c r="AW35" s="199"/>
    </row>
    <row r="36" spans="1:49" ht="15" x14ac:dyDescent="0.3">
      <c r="A36" s="10" t="s">
        <v>1342</v>
      </c>
      <c r="B36" s="21" t="str">
        <f>'2010'!C34</f>
        <v>0,0 (0,0)</v>
      </c>
      <c r="C36" s="22" t="str">
        <f>'2011'!C34</f>
        <v>0,0 (0,0)</v>
      </c>
      <c r="D36" s="79" t="str">
        <f>'2012'!C41</f>
        <v>0,2 (+0,2)</v>
      </c>
      <c r="E36" s="79" t="str">
        <f>'2013'!C41</f>
        <v>0,0 (0,0)</v>
      </c>
      <c r="F36" s="79" t="str">
        <f>'2014'!$C41</f>
        <v>0,0 (0,0)</v>
      </c>
      <c r="G36" s="80" t="str">
        <f>'2010'!E34</f>
        <v>12,2 (+12,2)</v>
      </c>
      <c r="H36" s="79" t="str">
        <f>'2011'!E34</f>
        <v>4,1 (+4,1)</v>
      </c>
      <c r="I36" s="79" t="str">
        <f>'2012'!E41</f>
        <v>16,4 (+16,4)</v>
      </c>
      <c r="J36" s="79" t="str">
        <f>'2013'!$E41</f>
        <v>12,0 (+12,0)</v>
      </c>
      <c r="K36" s="81" t="str">
        <f>'2014'!$E41</f>
        <v>0,0 (0,0)</v>
      </c>
      <c r="L36" s="79" t="str">
        <f>'2010'!G34</f>
        <v>162,2 (+90,2)</v>
      </c>
      <c r="M36" s="79" t="str">
        <f>'2011'!G34</f>
        <v>93,4 (+21,5)</v>
      </c>
      <c r="N36" s="79" t="str">
        <f>'2012'!G41</f>
        <v>153,2 (+81,3)</v>
      </c>
      <c r="O36" s="79" t="str">
        <f>'2013'!$G41</f>
        <v>145,0 (+73,1)</v>
      </c>
      <c r="P36" s="79" t="str">
        <f>'2014'!$G41</f>
        <v>109,3  (+38,5)</v>
      </c>
      <c r="Q36" s="27" t="s">
        <v>1342</v>
      </c>
      <c r="R36" s="79" t="str">
        <f>'2010'!I34</f>
        <v>383,9 (+99,3)</v>
      </c>
      <c r="S36" s="79" t="str">
        <f>'2011'!I34</f>
        <v>326,7 (+42,2)</v>
      </c>
      <c r="T36" s="79" t="str">
        <f>'2012'!I41</f>
        <v>415,5 (+130,9)</v>
      </c>
      <c r="U36" s="79" t="str">
        <f>'2013'!$I41</f>
        <v>339,7 (+55,1)</v>
      </c>
      <c r="V36" s="79" t="str">
        <f>'2014'!$I41</f>
        <v>365 (+82,7)</v>
      </c>
      <c r="W36" s="80" t="str">
        <f>'2010'!K34</f>
        <v>744,5 (+163,6)</v>
      </c>
      <c r="X36" s="79" t="str">
        <f>'2011'!K34</f>
        <v>679,7 (+98,8)</v>
      </c>
      <c r="Y36" s="236" t="str">
        <f>'2012'!K41</f>
        <v>749,8 (+168,8)</v>
      </c>
      <c r="Z36" s="79" t="str">
        <f>'2013'!$K41</f>
        <v>678,0 (+97,1)</v>
      </c>
      <c r="AA36" s="79" t="str">
        <f>'2014'!$K41</f>
        <v>680,3 (+101,1)</v>
      </c>
      <c r="AB36" s="80" t="str">
        <f>'2010'!M34</f>
        <v>1039,7 (+206,6)</v>
      </c>
      <c r="AC36" s="79" t="str">
        <f>'2011'!M34</f>
        <v>982,2 (+149,1)</v>
      </c>
      <c r="AD36" s="226" t="str">
        <f>'2012'!M41</f>
        <v>1077,8 (+244,7)</v>
      </c>
      <c r="AE36" s="79" t="str">
        <f>'2013'!$M41</f>
        <v>954,0 (+120,8)</v>
      </c>
      <c r="AF36" s="81" t="str">
        <f>'2014'!$M41</f>
        <v>962,2 (+129,3)</v>
      </c>
      <c r="AG36" s="10" t="s">
        <v>1342</v>
      </c>
      <c r="AH36" s="80" t="str">
        <f>'2010'!O34</f>
        <v>1200,3 (+279,5)</v>
      </c>
      <c r="AI36" s="79" t="str">
        <f>'2011'!O34</f>
        <v>1165,9 (+245,1)</v>
      </c>
      <c r="AJ36" s="59" t="str">
        <f>'2012'!O41</f>
        <v>1232,1 (+311,3)</v>
      </c>
      <c r="AK36" s="79" t="str">
        <f>'2013'!$O41</f>
        <v>1081,8 (+161,1)</v>
      </c>
      <c r="AL36" s="79" t="str">
        <f>'2014'!$O41</f>
        <v>1108,1 (+184,6)</v>
      </c>
      <c r="AM36" s="21" t="str">
        <f>'2010'!Q34</f>
        <v>1210,4 (+289,6)</v>
      </c>
      <c r="AN36" s="22" t="str">
        <f>'2011'!Q34</f>
        <v>1201,7 (+280,9)</v>
      </c>
      <c r="AO36" s="82" t="str">
        <f>'2012'!Q41</f>
        <v>1271,4 (+350,6)</v>
      </c>
      <c r="AP36" s="79" t="str">
        <f>'2013'!$Q41</f>
        <v>1131,8 (+211,0)</v>
      </c>
      <c r="AQ36" s="79">
        <f>'2014'!$Q41</f>
        <v>0</v>
      </c>
      <c r="AR36" s="21" t="str">
        <f>'2010'!S34</f>
        <v>1210,4 (+289,6)</v>
      </c>
      <c r="AS36" s="79" t="str">
        <f>'2011'!S34</f>
        <v>1203,6 (+282,8)</v>
      </c>
      <c r="AT36" s="82" t="str">
        <f>'2012'!S41</f>
        <v>1271,4 (+350,6)</v>
      </c>
      <c r="AU36" s="79" t="str">
        <f>'2013'!$S41</f>
        <v>1133,7 (+212,9)</v>
      </c>
      <c r="AV36" s="81">
        <f>'2014'!$S41</f>
        <v>0</v>
      </c>
      <c r="AW36" s="81">
        <f>'2015'!$S41</f>
        <v>0</v>
      </c>
    </row>
    <row r="37" spans="1:49" ht="15" x14ac:dyDescent="0.3">
      <c r="A37" s="10" t="s">
        <v>1343</v>
      </c>
      <c r="B37" s="21" t="str">
        <f>'2010'!C35</f>
        <v>0,0 (0,0)</v>
      </c>
      <c r="C37" s="22" t="str">
        <f>'2011'!C35</f>
        <v>0,0 (0,0)</v>
      </c>
      <c r="D37" s="79" t="str">
        <f>'2012'!C42</f>
        <v>5,4 (+5,4)</v>
      </c>
      <c r="E37" s="79" t="str">
        <f>'2013'!C42</f>
        <v>0,0 (0,0)</v>
      </c>
      <c r="F37" s="79" t="str">
        <f>'2014'!$C42</f>
        <v>0,0 (0,0)</v>
      </c>
      <c r="G37" s="80" t="str">
        <f>'2010'!E35</f>
        <v>20,2 (+20,2)</v>
      </c>
      <c r="H37" s="79" t="str">
        <f>'2011'!E35</f>
        <v>4,8 (+4,8)</v>
      </c>
      <c r="I37" s="79" t="str">
        <f>'2012'!E42</f>
        <v>20,8 (+20,8)</v>
      </c>
      <c r="J37" s="79" t="str">
        <f>'2013'!$E42</f>
        <v>12,0 (+12,0)</v>
      </c>
      <c r="K37" s="81" t="str">
        <f>'2014'!$E42</f>
        <v>0,6 (+0,6)</v>
      </c>
      <c r="L37" s="79" t="str">
        <f>'2010'!G35</f>
        <v>189,9 (+122,3)</v>
      </c>
      <c r="M37" s="79" t="str">
        <f>'2011'!G35</f>
        <v>115,7 (+48,0)</v>
      </c>
      <c r="N37" s="79" t="str">
        <f>'2012'!G42</f>
        <v>172,8 (+105,2)</v>
      </c>
      <c r="O37" s="79" t="str">
        <f>'2013'!$G42</f>
        <v>157,2 (+89,5)</v>
      </c>
      <c r="P37" s="79" t="str">
        <f>'2014'!$G42</f>
        <v>127  (+60,4)</v>
      </c>
      <c r="Q37" s="27" t="s">
        <v>1343</v>
      </c>
      <c r="R37" s="79" t="str">
        <f>'2010'!I35</f>
        <v>424,1 (+150,8)</v>
      </c>
      <c r="S37" s="79" t="str">
        <f>'2011'!I35</f>
        <v>363,7 (+90,4)</v>
      </c>
      <c r="T37" s="79" t="str">
        <f>'2012'!I42</f>
        <v>443,9 (+170,7)</v>
      </c>
      <c r="U37" s="79" t="str">
        <f>'2013'!$I42</f>
        <v>368,8 (+95,5)</v>
      </c>
      <c r="V37" s="79" t="str">
        <f>'2014'!$I42</f>
        <v>396,9 (+124,9)</v>
      </c>
      <c r="W37" s="80" t="str">
        <f>'2010'!K35</f>
        <v>793,7 (+231,7)</v>
      </c>
      <c r="X37" s="79" t="str">
        <f>'2011'!K35</f>
        <v>728,6 (+166,5)</v>
      </c>
      <c r="Y37" s="236" t="str">
        <f>'2012'!K42</f>
        <v>791,6 (+229,6)</v>
      </c>
      <c r="Z37" s="79" t="str">
        <f>'2013'!$K42</f>
        <v>719,5 (+157,4)</v>
      </c>
      <c r="AA37" s="79" t="str">
        <f>'2014'!$K42</f>
        <v>705,5 (+143,7)</v>
      </c>
      <c r="AB37" s="80" t="str">
        <f>'2010'!M35</f>
        <v>1097,2 (+291,1)</v>
      </c>
      <c r="AC37" s="79" t="str">
        <f>'2011'!M35</f>
        <v>1030,5 (+224,4)</v>
      </c>
      <c r="AD37" s="226" t="str">
        <f>'2012'!M42</f>
        <v>1119,0 (+312,9)</v>
      </c>
      <c r="AE37" s="79" t="str">
        <f>'2013'!$M42</f>
        <v>1007,0 (+200,9)</v>
      </c>
      <c r="AF37" s="81" t="str">
        <f>'2014'!$M42</f>
        <v>1002,4 (+194,9)</v>
      </c>
      <c r="AG37" s="10" t="s">
        <v>1343</v>
      </c>
      <c r="AH37" s="80" t="str">
        <f>'2010'!O35</f>
        <v>1250,5 (+365,2)</v>
      </c>
      <c r="AI37" s="79" t="str">
        <f>'2011'!O35</f>
        <v>1216,2 (+330,9)</v>
      </c>
      <c r="AJ37" s="59" t="str">
        <f>'2012'!O42</f>
        <v>1258,9 (+373,5)</v>
      </c>
      <c r="AK37" s="79" t="str">
        <f>'2013'!$O42</f>
        <v>1130,5 (+245,2)</v>
      </c>
      <c r="AL37" s="79" t="str">
        <f>'2014'!$O42</f>
        <v>1145,4 (255,6)</v>
      </c>
      <c r="AM37" s="21" t="str">
        <f>'2010'!Q35</f>
        <v>1263,4 (+378,1)</v>
      </c>
      <c r="AN37" s="22" t="str">
        <f>'2011'!Q35</f>
        <v>1253,1 (+367,7)</v>
      </c>
      <c r="AO37" s="82" t="str">
        <f>'2012'!Q42</f>
        <v>1298,4 (+413,0)</v>
      </c>
      <c r="AP37" s="79" t="str">
        <f>'2013'!$Q42</f>
        <v>1189,0 (+303,6)</v>
      </c>
      <c r="AQ37" s="79">
        <f>'2014'!$Q42</f>
        <v>0</v>
      </c>
      <c r="AR37" s="21" t="str">
        <f>'2010'!S35</f>
        <v>1263,4 (+378,1)</v>
      </c>
      <c r="AS37" s="79" t="str">
        <f>'2011'!S35</f>
        <v>1255,5 (+370,2)</v>
      </c>
      <c r="AT37" s="82" t="str">
        <f>'2012'!S42</f>
        <v>1298,4 (+413,0)</v>
      </c>
      <c r="AU37" s="79" t="str">
        <f>'2013'!$S42</f>
        <v>1190,7 (+305,4)</v>
      </c>
      <c r="AV37" s="81">
        <f>'2014'!$S42</f>
        <v>0</v>
      </c>
      <c r="AW37" s="81">
        <f>'2015'!$S42</f>
        <v>0</v>
      </c>
    </row>
    <row r="38" spans="1:49" ht="15" x14ac:dyDescent="0.3">
      <c r="A38" s="10"/>
      <c r="B38" s="21"/>
      <c r="C38" s="22"/>
      <c r="D38" s="79"/>
      <c r="E38" s="79"/>
      <c r="F38" s="79"/>
      <c r="G38" s="80"/>
      <c r="H38" s="79"/>
      <c r="I38" s="79"/>
      <c r="J38" s="79"/>
      <c r="K38" s="81"/>
      <c r="L38" s="79"/>
      <c r="M38" s="79"/>
      <c r="N38" s="79"/>
      <c r="O38" s="79"/>
      <c r="P38" s="79"/>
      <c r="Q38" s="27"/>
      <c r="R38" s="79"/>
      <c r="S38" s="79"/>
      <c r="T38" s="79"/>
      <c r="U38" s="79"/>
      <c r="V38" s="79"/>
      <c r="W38" s="80"/>
      <c r="X38" s="79"/>
      <c r="Y38" s="236"/>
      <c r="Z38" s="79"/>
      <c r="AA38" s="79"/>
      <c r="AB38" s="80"/>
      <c r="AC38" s="79"/>
      <c r="AD38" s="226"/>
      <c r="AE38" s="79"/>
      <c r="AF38" s="81"/>
      <c r="AG38" s="10"/>
      <c r="AH38" s="80"/>
      <c r="AI38" s="79"/>
      <c r="AJ38" s="59"/>
      <c r="AK38" s="79"/>
      <c r="AL38" s="79"/>
      <c r="AM38" s="21"/>
      <c r="AN38" s="22"/>
      <c r="AO38" s="82"/>
      <c r="AP38" s="79"/>
      <c r="AQ38" s="79"/>
      <c r="AR38" s="21"/>
      <c r="AS38" s="79"/>
      <c r="AT38" s="82"/>
      <c r="AU38" s="79"/>
      <c r="AV38" s="81"/>
      <c r="AW38" s="81"/>
    </row>
    <row r="39" spans="1:49" ht="15" x14ac:dyDescent="0.3">
      <c r="A39" s="10" t="s">
        <v>1344</v>
      </c>
      <c r="B39" s="21" t="str">
        <f>'2010'!C37</f>
        <v>0,0 (0,0)</v>
      </c>
      <c r="C39" s="22" t="str">
        <f>'2011'!C37</f>
        <v>0,0 (0,0)</v>
      </c>
      <c r="D39" s="79" t="str">
        <f>'2012'!C44</f>
        <v>5,9 (+5,9)</v>
      </c>
      <c r="E39" s="79" t="str">
        <f>'2013'!C44</f>
        <v>0,0 (0,0)</v>
      </c>
      <c r="F39" s="79" t="str">
        <f>'2014'!$C43</f>
        <v>0,0 (0,0)</v>
      </c>
      <c r="G39" s="80" t="str">
        <f>'2010'!E37</f>
        <v>3,6 (+3,6)</v>
      </c>
      <c r="H39" s="79" t="str">
        <f>'2011'!E37</f>
        <v>1,2 (+1,2)</v>
      </c>
      <c r="I39" s="79" t="str">
        <f>'2012'!E44</f>
        <v>13,4 (+13,4)</v>
      </c>
      <c r="J39" s="79" t="str">
        <f>'2013'!$E44</f>
        <v>2,5 (+2,5)</v>
      </c>
      <c r="K39" s="81" t="str">
        <f>'2014'!$E43</f>
        <v>1,3 (+1,3)</v>
      </c>
      <c r="L39" s="79" t="str">
        <f>'2010'!G37</f>
        <v>119,3 (+76,9)</v>
      </c>
      <c r="M39" s="79" t="str">
        <f>'2011'!G37</f>
        <v>70,0 (+27,6)</v>
      </c>
      <c r="N39" s="79" t="str">
        <f>'2012'!G44</f>
        <v>120,4 (+78,1)</v>
      </c>
      <c r="O39" s="79" t="str">
        <f>'2013'!$G44</f>
        <v>86,8 (+44,4)</v>
      </c>
      <c r="P39" s="79" t="str">
        <f>'2014'!$G43</f>
        <v>81,9  (+47,8)</v>
      </c>
      <c r="Q39" s="27" t="s">
        <v>1344</v>
      </c>
      <c r="R39" s="79" t="str">
        <f>'2010'!I37</f>
        <v>298,2 (+83,2)</v>
      </c>
      <c r="S39" s="79" t="str">
        <f>'2011'!I37</f>
        <v>264,3 (+49,3)</v>
      </c>
      <c r="T39" s="79" t="str">
        <f>'2012'!I44</f>
        <v>335,6 (+120,6)</v>
      </c>
      <c r="U39" s="79" t="str">
        <f>'2013'!$I44</f>
        <v>254,7 (+39,7)</v>
      </c>
      <c r="V39" s="79" t="str">
        <f>'2014'!$I43</f>
        <v>296,1 (+102,5)</v>
      </c>
      <c r="W39" s="80" t="str">
        <f>'2010'!K37</f>
        <v>636,2 (+166,0)</v>
      </c>
      <c r="X39" s="79" t="str">
        <f>'2011'!K37</f>
        <v>585,5 (+115,2)</v>
      </c>
      <c r="Y39" s="236" t="str">
        <f>'2012'!K44</f>
        <v>624,6 (+154,3)</v>
      </c>
      <c r="Z39" s="79" t="str">
        <f>'2013'!$K44</f>
        <v>554,7 (+84,4)</v>
      </c>
      <c r="AA39" s="79" t="str">
        <f>'2014'!$K43</f>
        <v>558,5 (+123,3)</v>
      </c>
      <c r="AB39" s="80" t="str">
        <f>'2010'!M37</f>
        <v>900,7 (+218,7)</v>
      </c>
      <c r="AC39" s="79" t="str">
        <f>'2011'!M37</f>
        <v>854,2 (+172,3)</v>
      </c>
      <c r="AD39" s="226" t="str">
        <f>'2012'!M44</f>
        <v>911,4 (+229,4)</v>
      </c>
      <c r="AE39" s="79" t="str">
        <f>'2013'!$M44</f>
        <v>807,2 (+125,2)</v>
      </c>
      <c r="AF39" s="81" t="str">
        <f>'2014'!$M43</f>
        <v>811,8 (+178,3)</v>
      </c>
      <c r="AG39" s="10" t="s">
        <v>1344</v>
      </c>
      <c r="AH39" s="80" t="str">
        <f>'2010'!O37</f>
        <v>1025,1 (+289,4)</v>
      </c>
      <c r="AI39" s="79" t="str">
        <f>'2011'!O37</f>
        <v>1007,2 (+271,6)</v>
      </c>
      <c r="AJ39" s="59" t="str">
        <f>'2012'!O44</f>
        <v>1024,3 (+288,7)</v>
      </c>
      <c r="AK39" s="79" t="str">
        <f>'2013'!$O44</f>
        <v>906,0 (+170,3)</v>
      </c>
      <c r="AL39" s="79" t="str">
        <f>'2014'!$O43</f>
        <v>931,5 (+252,2)</v>
      </c>
      <c r="AM39" s="21" t="str">
        <f>'2010'!Q37</f>
        <v>1032,4 (+296,7)</v>
      </c>
      <c r="AN39" s="22" t="str">
        <f>'2011'!Q37</f>
        <v>1038,5 (+302,9)</v>
      </c>
      <c r="AO39" s="82" t="str">
        <f>'2012'!Q44</f>
        <v>1052,8 (+317,2)</v>
      </c>
      <c r="AP39" s="79" t="str">
        <f>'2013'!$Q44</f>
        <v>938,2 (+202,6)</v>
      </c>
      <c r="AQ39" s="79">
        <f>'2014'!$Q43</f>
        <v>0</v>
      </c>
      <c r="AR39" s="21" t="str">
        <f>'2010'!S37</f>
        <v>1032,4 (+296,7)</v>
      </c>
      <c r="AS39" s="79" t="str">
        <f>'2011'!S37</f>
        <v>1038,5 (+302,9)</v>
      </c>
      <c r="AT39" s="82" t="str">
        <f>'2012'!S44</f>
        <v>1052,8 (+317,2)</v>
      </c>
      <c r="AU39" s="79" t="str">
        <f>'2013'!$S44</f>
        <v>938,3 (+202,6)</v>
      </c>
      <c r="AV39" s="81">
        <f>'2014'!$S43</f>
        <v>0</v>
      </c>
      <c r="AW39" s="81">
        <f>'2015'!$S44</f>
        <v>0</v>
      </c>
    </row>
    <row r="40" spans="1:49" ht="15" x14ac:dyDescent="0.3">
      <c r="A40" s="10" t="s">
        <v>1345</v>
      </c>
      <c r="B40" s="21" t="str">
        <f>'2010'!C38</f>
        <v>0,0 (0,0)</v>
      </c>
      <c r="C40" s="22" t="str">
        <f>'2011'!C38</f>
        <v>0,0 (0,0)</v>
      </c>
      <c r="D40" s="79" t="str">
        <f>'2012'!C45</f>
        <v>0,5 (+0,5)</v>
      </c>
      <c r="E40" s="79" t="str">
        <f>'2013'!C45</f>
        <v>0,0 (0,0)</v>
      </c>
      <c r="F40" s="79" t="str">
        <f>'2014'!$C44</f>
        <v>0,0 (0,0)</v>
      </c>
      <c r="G40" s="80" t="str">
        <f>'2010'!E38</f>
        <v>0,8 (+0,8)</v>
      </c>
      <c r="H40" s="79" t="str">
        <f>'2011'!E38</f>
        <v>0,7 (+0,7)</v>
      </c>
      <c r="I40" s="79" t="str">
        <f>'2012'!E45</f>
        <v>8,0 (+8,0)</v>
      </c>
      <c r="J40" s="79" t="str">
        <f>'2013'!$E45</f>
        <v>2,5 (+2,5)</v>
      </c>
      <c r="K40" s="81" t="str">
        <f>'2014'!$E44</f>
        <v>0,0 (0,0)</v>
      </c>
      <c r="L40" s="79" t="str">
        <f>'2010'!G38</f>
        <v>106,0 (+51,8)</v>
      </c>
      <c r="M40" s="79" t="str">
        <f>'2011'!G38</f>
        <v>64,8 (+10,6)</v>
      </c>
      <c r="N40" s="79" t="str">
        <f>'2012'!G45</f>
        <v>112,1 (+57,8)</v>
      </c>
      <c r="O40" s="79" t="str">
        <f>'2013'!$G45</f>
        <v>91,8 (+37,6)</v>
      </c>
      <c r="P40" s="79" t="str">
        <f>'2014'!$G44</f>
        <v>78  (+24,4)</v>
      </c>
      <c r="Q40" s="27" t="s">
        <v>1345</v>
      </c>
      <c r="R40" s="79" t="str">
        <f>'2010'!I38</f>
        <v>277,0 (+33,9)</v>
      </c>
      <c r="S40" s="79" t="str">
        <f>'2011'!I38</f>
        <v>255,9 (+12,9)</v>
      </c>
      <c r="T40" s="79" t="str">
        <f>'2012'!I45</f>
        <v>312,9 (+69,8)</v>
      </c>
      <c r="U40" s="79" t="str">
        <f>'2013'!$I45</f>
        <v>252,6 (+9,5)</v>
      </c>
      <c r="V40" s="79" t="str">
        <f>'2014'!$I44</f>
        <v>277 (+35,0)</v>
      </c>
      <c r="W40" s="80" t="str">
        <f>'2010'!K38</f>
        <v>600,4 (+85,9)</v>
      </c>
      <c r="X40" s="79" t="str">
        <f>'2011'!K38</f>
        <v>562,8 (+48,3)</v>
      </c>
      <c r="Y40" s="236" t="str">
        <f>'2012'!K45</f>
        <v>588,3 (+73,7)</v>
      </c>
      <c r="Z40" s="79" t="str">
        <f>'2013'!$K45</f>
        <v>534,2 (+19,6)</v>
      </c>
      <c r="AA40" s="79" t="str">
        <f>'2014'!$K44</f>
        <v>535,8 (+22,2)</v>
      </c>
      <c r="AB40" s="80" t="str">
        <f>'2010'!M38</f>
        <v>859,6 (+118,1)</v>
      </c>
      <c r="AC40" s="79" t="str">
        <f>'2011'!M38</f>
        <v>827,8 (+86,3)</v>
      </c>
      <c r="AD40" s="226" t="str">
        <f>'2012'!M45</f>
        <v>858,6 (+117,0)</v>
      </c>
      <c r="AE40" s="79" t="str">
        <f>'2013'!$M45</f>
        <v>765,8 (+24,3)</v>
      </c>
      <c r="AF40" s="81" t="str">
        <f>'2014'!$M44</f>
        <v>764,9 (+23,6)</v>
      </c>
      <c r="AG40" s="10" t="s">
        <v>1345</v>
      </c>
      <c r="AH40" s="80" t="str">
        <f>'2010'!O38</f>
        <v>985,5 (+178,9)</v>
      </c>
      <c r="AI40" s="79" t="str">
        <f>'2011'!O38</f>
        <v>951,1 (+144,5)</v>
      </c>
      <c r="AJ40" s="59" t="str">
        <f>'2012'!O45</f>
        <v>952,3 (+145,6)</v>
      </c>
      <c r="AK40" s="79" t="str">
        <f>'2013'!$O45</f>
        <v>844,5 (+37,9)</v>
      </c>
      <c r="AL40" s="79" t="str">
        <f>'2014'!$O44</f>
        <v>869,7 (+61,3)</v>
      </c>
      <c r="AM40" s="21" t="str">
        <f>'2010'!Q38</f>
        <v>991,5 (+184,9)</v>
      </c>
      <c r="AN40" s="22" t="str">
        <f>'2011'!Q38</f>
        <v>970,2 (+163,6)</v>
      </c>
      <c r="AO40" s="82" t="str">
        <f>'2012'!Q45</f>
        <v>975,5 (+168,9)</v>
      </c>
      <c r="AP40" s="79" t="str">
        <f>'2013'!$Q45</f>
        <v>865,9 (+59,3)</v>
      </c>
      <c r="AQ40" s="79">
        <f>'2014'!$Q44</f>
        <v>0</v>
      </c>
      <c r="AR40" s="21" t="str">
        <f>'2010'!S38</f>
        <v>991,5 (+184,9)</v>
      </c>
      <c r="AS40" s="79" t="str">
        <f>'2011'!S38</f>
        <v>970,2 (+163,6)</v>
      </c>
      <c r="AT40" s="82" t="str">
        <f>'2012'!S45</f>
        <v>975,5 (+168,9)</v>
      </c>
      <c r="AU40" s="79" t="str">
        <f>'2013'!$S45</f>
        <v>865,4 (+58,8)</v>
      </c>
      <c r="AV40" s="81">
        <f>'2014'!$S44</f>
        <v>0</v>
      </c>
      <c r="AW40" s="81">
        <f>'2015'!$S45</f>
        <v>0</v>
      </c>
    </row>
    <row r="41" spans="1:49" ht="15" x14ac:dyDescent="0.3">
      <c r="A41" s="10" t="s">
        <v>1346</v>
      </c>
      <c r="B41" s="21" t="str">
        <f>'2010'!C39</f>
        <v>0,0 (0,0)</v>
      </c>
      <c r="C41" s="22" t="str">
        <f>'2011'!C39</f>
        <v>0,0 (0,0)</v>
      </c>
      <c r="D41" s="79" t="str">
        <f>'2012'!C46</f>
        <v>6,8 (+6,8)</v>
      </c>
      <c r="E41" s="79" t="str">
        <f>'2013'!C46</f>
        <v>0,0 (0,0)</v>
      </c>
      <c r="F41" s="79" t="str">
        <f>'2014'!$C45</f>
        <v>0,0 (0,0)</v>
      </c>
      <c r="G41" s="80" t="str">
        <f>'2010'!E39</f>
        <v>4,8 (+4,8)</v>
      </c>
      <c r="H41" s="79" t="str">
        <f>'2011'!E39</f>
        <v>1,9 (+1,9)</v>
      </c>
      <c r="I41" s="79" t="str">
        <f>'2012'!E46</f>
        <v>18,1 (+18,1)</v>
      </c>
      <c r="J41" s="79" t="str">
        <f>'2013'!$E46</f>
        <v>5,1 (+5,1)</v>
      </c>
      <c r="K41" s="81" t="str">
        <f>'2014'!$E45</f>
        <v>1,4 (+1,4)</v>
      </c>
      <c r="L41" s="79" t="str">
        <f>'2010'!G39</f>
        <v>122,3 (+85,6)</v>
      </c>
      <c r="M41" s="79" t="str">
        <f>'2011'!G39</f>
        <v>71,3 (+34,5)</v>
      </c>
      <c r="N41" s="79" t="str">
        <f>'2012'!G46</f>
        <v>134,4 (+97,6)</v>
      </c>
      <c r="O41" s="79" t="str">
        <f>'2013'!$G46</f>
        <v>97,5 (+60,7)</v>
      </c>
      <c r="P41" s="79" t="str">
        <f>'2014'!$G45</f>
        <v>91,5  (+50,5)</v>
      </c>
      <c r="Q41" s="27" t="s">
        <v>1346</v>
      </c>
      <c r="R41" s="79" t="str">
        <f>'2010'!I39</f>
        <v>294,9 (+92,8)</v>
      </c>
      <c r="S41" s="79" t="str">
        <f>'2011'!I39</f>
        <v>268,0 (+65,9)</v>
      </c>
      <c r="T41" s="79" t="str">
        <f>'2012'!I46</f>
        <v>354,1 (+152,0)</v>
      </c>
      <c r="U41" s="79" t="str">
        <f>'2013'!$I46</f>
        <v>257,0 (+54,9)</v>
      </c>
      <c r="V41" s="79" t="str">
        <f>'2014'!$I45</f>
        <v>335,7 (+116,8)</v>
      </c>
      <c r="W41" s="80" t="str">
        <f>'2010'!K39</f>
        <v>631,8 (+182,9)</v>
      </c>
      <c r="X41" s="79" t="str">
        <f>'2011'!K39</f>
        <v>591,1 (+142,1)</v>
      </c>
      <c r="Y41" s="236" t="str">
        <f>'2012'!K46</f>
        <v>642,2 (+193,2)</v>
      </c>
      <c r="Z41" s="79" t="str">
        <f>'2013'!$K46</f>
        <v>557,8 (+108,9)</v>
      </c>
      <c r="AA41" s="79" t="str">
        <f>'2014'!$K45</f>
        <v>624,2 (+145,8)</v>
      </c>
      <c r="AB41" s="80" t="str">
        <f>'2010'!M39</f>
        <v>896,8 (+245,9)</v>
      </c>
      <c r="AC41" s="79" t="str">
        <f>'2011'!M39</f>
        <v>857,4 (+206,6)</v>
      </c>
      <c r="AD41" s="226" t="str">
        <f>'2012'!M46</f>
        <v>924,7 (+273,8)</v>
      </c>
      <c r="AE41" s="79" t="str">
        <f>'2013'!$M46</f>
        <v>800,3 (+149,5)</v>
      </c>
      <c r="AF41" s="81" t="str">
        <f>'2014'!$M45</f>
        <v>902,3 (+207,0)</v>
      </c>
      <c r="AG41" s="10" t="s">
        <v>1346</v>
      </c>
      <c r="AH41" s="80" t="str">
        <f>'2010'!O39</f>
        <v>1006,3 (+309,5)</v>
      </c>
      <c r="AI41" s="79" t="str">
        <f>'2011'!O39</f>
        <v>998,0 (+301,1)</v>
      </c>
      <c r="AJ41" s="59" t="str">
        <f>'2012'!O46</f>
        <v>1035,8 (+339,0)</v>
      </c>
      <c r="AK41" s="79" t="str">
        <f>'2013'!$O46</f>
        <v>894,6 (+197,8)</v>
      </c>
      <c r="AL41" s="79" t="str">
        <f>'2014'!$O45</f>
        <v>1018,1 (+266,3)</v>
      </c>
      <c r="AM41" s="21" t="str">
        <f>'2010'!Q39</f>
        <v>1013,2 (+316,4)</v>
      </c>
      <c r="AN41" s="22" t="str">
        <f>'2011'!Q39</f>
        <v>1029,9 (+333,1)</v>
      </c>
      <c r="AO41" s="82" t="str">
        <f>'2012'!Q46</f>
        <v>1062,3 (+365,4)</v>
      </c>
      <c r="AP41" s="79" t="str">
        <f>'2013'!$Q46</f>
        <v>928,2 (+231,4)</v>
      </c>
      <c r="AQ41" s="79">
        <f>'2014'!$Q45</f>
        <v>0</v>
      </c>
      <c r="AR41" s="21" t="str">
        <f>'2010'!S39</f>
        <v>1013,2 (+316,4)</v>
      </c>
      <c r="AS41" s="79" t="str">
        <f>'2011'!S39</f>
        <v>1030,1 (+333,3)</v>
      </c>
      <c r="AT41" s="82" t="str">
        <f>'2012'!S46</f>
        <v>1062,3 (+365,4)</v>
      </c>
      <c r="AU41" s="79" t="str">
        <f>'2013'!$S46</f>
        <v>929,5 (+232,7)</v>
      </c>
      <c r="AV41" s="81">
        <f>'2014'!$S45</f>
        <v>0</v>
      </c>
      <c r="AW41" s="81">
        <f>'2015'!$S46</f>
        <v>0</v>
      </c>
    </row>
    <row r="42" spans="1:49" ht="15" x14ac:dyDescent="0.3">
      <c r="A42" s="10"/>
      <c r="B42" s="21"/>
      <c r="C42" s="22"/>
      <c r="D42" s="79"/>
      <c r="E42" s="79"/>
      <c r="F42" s="79"/>
      <c r="G42" s="80"/>
      <c r="H42" s="79"/>
      <c r="I42" s="79"/>
      <c r="J42" s="79"/>
      <c r="K42" s="81"/>
      <c r="L42" s="79"/>
      <c r="M42" s="79"/>
      <c r="N42" s="79"/>
      <c r="O42" s="79"/>
      <c r="P42" s="79"/>
      <c r="Q42" s="27"/>
      <c r="R42" s="79"/>
      <c r="S42" s="79"/>
      <c r="T42" s="79"/>
      <c r="U42" s="79"/>
      <c r="V42" s="79"/>
      <c r="W42" s="80"/>
      <c r="X42" s="79"/>
      <c r="Y42" s="236"/>
      <c r="Z42" s="79"/>
      <c r="AA42" s="79"/>
      <c r="AB42" s="80"/>
      <c r="AC42" s="79"/>
      <c r="AD42" s="226"/>
      <c r="AE42" s="79"/>
      <c r="AF42" s="81"/>
      <c r="AG42" s="10"/>
      <c r="AH42" s="80"/>
      <c r="AI42" s="79"/>
      <c r="AJ42" s="59"/>
      <c r="AK42" s="79"/>
      <c r="AL42" s="79"/>
      <c r="AM42" s="21"/>
      <c r="AN42" s="22"/>
      <c r="AO42" s="82"/>
      <c r="AP42" s="79"/>
      <c r="AQ42" s="79"/>
      <c r="AR42" s="21"/>
      <c r="AS42" s="79"/>
      <c r="AT42" s="82"/>
      <c r="AU42" s="79"/>
      <c r="AV42" s="81"/>
      <c r="AW42" s="81"/>
    </row>
    <row r="43" spans="1:49" ht="15" x14ac:dyDescent="0.3">
      <c r="A43" s="10" t="s">
        <v>1347</v>
      </c>
      <c r="B43" s="21" t="str">
        <f>'2010'!C41</f>
        <v>0,0 (0,0)</v>
      </c>
      <c r="C43" s="22" t="str">
        <f>'2011'!C41</f>
        <v>0,0 (0,0)</v>
      </c>
      <c r="D43" s="79" t="str">
        <f>'2012'!C48</f>
        <v>0,3 (+0,3)</v>
      </c>
      <c r="E43" s="79" t="str">
        <f>'2013'!C48</f>
        <v>0,0 (0,0)</v>
      </c>
      <c r="F43" s="79" t="str">
        <f>'2014'!$C47</f>
        <v>0,0 (0,0)</v>
      </c>
      <c r="G43" s="80" t="str">
        <f>'2010'!E41</f>
        <v>3,0 (+3,0)</v>
      </c>
      <c r="H43" s="79" t="str">
        <f>'2011'!E41</f>
        <v>0,2 (+0,2)</v>
      </c>
      <c r="I43" s="79" t="str">
        <f>'2012'!E48</f>
        <v>12,4 (+12,4)</v>
      </c>
      <c r="J43" s="79" t="str">
        <f>'2013'!$E48</f>
        <v>7,3 (+7,3)</v>
      </c>
      <c r="K43" s="81" t="str">
        <f>'2014'!$E47</f>
        <v>0,0 (0,0)</v>
      </c>
      <c r="L43" s="79" t="str">
        <f>'2010'!G41</f>
        <v>134,5 (+86,0)</v>
      </c>
      <c r="M43" s="79" t="str">
        <f>'2011'!G41</f>
        <v>71,4 (+22,8)</v>
      </c>
      <c r="N43" s="79" t="str">
        <f>'2012'!G48</f>
        <v>123,4 (+74,9)</v>
      </c>
      <c r="O43" s="79" t="str">
        <f>'2013'!$G48</f>
        <v>110,6 (+62,1)</v>
      </c>
      <c r="P43" s="79" t="str">
        <f>'2014'!$G47</f>
        <v>88,6  (+46,9)</v>
      </c>
      <c r="Q43" s="27" t="s">
        <v>1347</v>
      </c>
      <c r="R43" s="79" t="str">
        <f>'2010'!I41</f>
        <v>331,9 (+100,9)</v>
      </c>
      <c r="S43" s="79" t="str">
        <f>'2011'!I41</f>
        <v>278,4 (+47,5)</v>
      </c>
      <c r="T43" s="79" t="str">
        <f>'2012'!I48</f>
        <v>341,2 (+110,2)</v>
      </c>
      <c r="U43" s="79" t="str">
        <f>'2013'!$I48</f>
        <v>282,8 (+51,8)</v>
      </c>
      <c r="V43" s="79" t="str">
        <f>'2014'!$I47</f>
        <v>313,7 (+99,8)</v>
      </c>
      <c r="W43" s="80" t="str">
        <f>'2010'!K41</f>
        <v>663,2 (+167,9)</v>
      </c>
      <c r="X43" s="79" t="str">
        <f>'2011'!K41</f>
        <v>601,0 (+105,6)</v>
      </c>
      <c r="Y43" s="236" t="str">
        <f>'2012'!K48</f>
        <v>639,4 (+144,0)</v>
      </c>
      <c r="Z43" s="79" t="str">
        <f>'2013'!$K48</f>
        <v>594,8 (+99,4)</v>
      </c>
      <c r="AA43" s="79" t="str">
        <f>'2014'!$K47</f>
        <v>589,1 (+121,7)</v>
      </c>
      <c r="AB43" s="80" t="str">
        <f>'2010'!M41</f>
        <v>919,7 (+204,1)</v>
      </c>
      <c r="AC43" s="79" t="str">
        <f>'2011'!M41</f>
        <v>864,2 (+148,6)</v>
      </c>
      <c r="AD43" s="226" t="str">
        <f>'2012'!M48</f>
        <v>934,0 (+218,4)</v>
      </c>
      <c r="AE43" s="79" t="str">
        <f>'2013'!$M48</f>
        <v>844,7 (+129,1)</v>
      </c>
      <c r="AF43" s="81" t="str">
        <f>'2014'!$M47</f>
        <v>851,7 (+173,8)</v>
      </c>
      <c r="AG43" s="10" t="s">
        <v>1347</v>
      </c>
      <c r="AH43" s="80" t="str">
        <f>'2010'!O41</f>
        <v>1050,9 (+276,0)</v>
      </c>
      <c r="AI43" s="79" t="str">
        <f>'2011'!O41</f>
        <v>1008,7 (+233,8)</v>
      </c>
      <c r="AJ43" s="59" t="str">
        <f>'2012'!O48</f>
        <v>1051,2 (+276,3)</v>
      </c>
      <c r="AK43" s="79" t="str">
        <f>'2013'!$O48</f>
        <v>939,4 (+164,5)</v>
      </c>
      <c r="AL43" s="79" t="str">
        <f>'2014'!$O47</f>
        <v>970,5 (+238,7)</v>
      </c>
      <c r="AM43" s="21" t="str">
        <f>'2010'!Q41</f>
        <v>1059,3 (+284,5)</v>
      </c>
      <c r="AN43" s="22" t="str">
        <f>'2011'!Q41</f>
        <v>1033,5 (+258,6)</v>
      </c>
      <c r="AO43" s="82" t="str">
        <f>'2012'!Q48</f>
        <v>1080,0 (+305,1)</v>
      </c>
      <c r="AP43" s="79" t="str">
        <f>'2013'!$Q48</f>
        <v>973,8 (+198,9)</v>
      </c>
      <c r="AQ43" s="79">
        <f>'2014'!$Q47</f>
        <v>0</v>
      </c>
      <c r="AR43" s="21" t="str">
        <f>'2010'!S41</f>
        <v>1059,3 (+284,5)</v>
      </c>
      <c r="AS43" s="79" t="str">
        <f>'2011'!S41</f>
        <v>1033,8 (+258,9)</v>
      </c>
      <c r="AT43" s="82" t="str">
        <f>'2012'!S48</f>
        <v>1080,0 (+305,1)</v>
      </c>
      <c r="AU43" s="79" t="str">
        <f>'2013'!$S48</f>
        <v>975,6 (+200,8)</v>
      </c>
      <c r="AV43" s="81">
        <f>'2014'!$S47</f>
        <v>0</v>
      </c>
      <c r="AW43" s="81">
        <f>'2015'!$S48</f>
        <v>0</v>
      </c>
    </row>
    <row r="44" spans="1:49" ht="15" x14ac:dyDescent="0.3">
      <c r="A44" s="10" t="s">
        <v>1348</v>
      </c>
      <c r="B44" s="21" t="str">
        <f>'2010'!C42</f>
        <v>0,0 (0,0)</v>
      </c>
      <c r="C44" s="22" t="str">
        <f>'2011'!C42</f>
        <v>0,0 (0,0)</v>
      </c>
      <c r="D44" s="79" t="str">
        <f>'2012'!C49</f>
        <v>5,4 (+5,4)</v>
      </c>
      <c r="E44" s="79" t="str">
        <f>'2013'!C49</f>
        <v>0,0 (0,0)</v>
      </c>
      <c r="F44" s="79" t="str">
        <f>'2014'!$C48</f>
        <v>0,0 (0,0)</v>
      </c>
      <c r="G44" s="80" t="str">
        <f>'2010'!E42</f>
        <v>15,2 (+15,2)</v>
      </c>
      <c r="H44" s="79" t="str">
        <f>'2011'!E42</f>
        <v>6,4 (+6,4)</v>
      </c>
      <c r="I44" s="79" t="str">
        <f>'2012'!E49</f>
        <v>20,0 (+20,0)</v>
      </c>
      <c r="J44" s="79" t="str">
        <f>'2013'!$E49</f>
        <v>13,7 (+13,7)</v>
      </c>
      <c r="K44" s="81" t="str">
        <f>'2014'!$E48</f>
        <v>0,1 (+0,1)</v>
      </c>
      <c r="L44" s="79" t="str">
        <f>'2010'!G42</f>
        <v>174,5 (+93,7)</v>
      </c>
      <c r="M44" s="79" t="str">
        <f>'2011'!G42</f>
        <v>106,3 (+25,5)</v>
      </c>
      <c r="N44" s="79" t="str">
        <f>'2012'!G49</f>
        <v>164,3 (+83,5)</v>
      </c>
      <c r="O44" s="79" t="str">
        <f>'2013'!$G49</f>
        <v>152,8 (+71,9)</v>
      </c>
      <c r="P44" s="79" t="str">
        <f>'2014'!$G48</f>
        <v>117,2  (+39,1)</v>
      </c>
      <c r="Q44" s="27" t="s">
        <v>1348</v>
      </c>
      <c r="R44" s="79" t="str">
        <f>'2010'!I42</f>
        <v>395,2 (+92,1)</v>
      </c>
      <c r="S44" s="79" t="str">
        <f>'2011'!I42</f>
        <v>351,5 (+48,4)</v>
      </c>
      <c r="T44" s="79" t="str">
        <f>'2012'!I49</f>
        <v>430,6 (+127,5)</v>
      </c>
      <c r="U44" s="79" t="str">
        <f>'2013'!$I49</f>
        <v>362,7 (+59,6)</v>
      </c>
      <c r="V44" s="79" t="str">
        <f>'2014'!$I48</f>
        <v>383,5 (+84,2)</v>
      </c>
      <c r="W44" s="80" t="str">
        <f>'2010'!K42</f>
        <v>758,5 (+149,5)</v>
      </c>
      <c r="X44" s="79" t="str">
        <f>'2011'!K42</f>
        <v>712,4 (+103,4)</v>
      </c>
      <c r="Y44" s="236" t="str">
        <f>'2012'!K49</f>
        <v>779,7 (+170,7)</v>
      </c>
      <c r="Z44" s="79" t="str">
        <f>'2013'!$K49</f>
        <v>698,7 (+89,7)</v>
      </c>
      <c r="AA44" s="79" t="str">
        <f>'2014'!$K48</f>
        <v>703,9 (+99,0)</v>
      </c>
      <c r="AB44" s="80" t="str">
        <f>'2010'!M42</f>
        <v>1059,3 (+189,3)</v>
      </c>
      <c r="AC44" s="79" t="str">
        <f>'2011'!M42</f>
        <v>999,1 (+129,2)</v>
      </c>
      <c r="AD44" s="226" t="str">
        <f>'2012'!M49</f>
        <v>1099,7 (+229,8)</v>
      </c>
      <c r="AE44" s="79" t="str">
        <f>'2013'!$M49</f>
        <v>970,6 (+100,6)</v>
      </c>
      <c r="AF44" s="81" t="str">
        <f>'2014'!$M48</f>
        <v>991,2 (+124,7)</v>
      </c>
      <c r="AG44" s="10" t="s">
        <v>1348</v>
      </c>
      <c r="AH44" s="80" t="str">
        <f>'2010'!O42</f>
        <v>1217,1 (+252,7)</v>
      </c>
      <c r="AI44" s="79" t="str">
        <f>'2011'!O42</f>
        <v>1178,5 (+214,1)</v>
      </c>
      <c r="AJ44" s="59" t="str">
        <f>'2012'!O49</f>
        <v>1239,8 (+275,3)</v>
      </c>
      <c r="AK44" s="79" t="str">
        <f>'2013'!$O49</f>
        <v>1094,0 (+129,6)</v>
      </c>
      <c r="AL44" s="79" t="str">
        <f>'2014'!$O48</f>
        <v>1139,3 (+176,4)</v>
      </c>
      <c r="AM44" s="21" t="str">
        <f>'2010'!Q42</f>
        <v>1229,2 (+264,5)</v>
      </c>
      <c r="AN44" s="22" t="str">
        <f>'2011'!Q42</f>
        <v>1214,2 (+249,6)</v>
      </c>
      <c r="AO44" s="82" t="str">
        <f>'2012'!Q49</f>
        <v>1274,7 (+310,1)</v>
      </c>
      <c r="AP44" s="79" t="str">
        <f>'2013'!$Q49</f>
        <v>1150,3 (+185,7)</v>
      </c>
      <c r="AQ44" s="79">
        <f>'2014'!$Q48</f>
        <v>0</v>
      </c>
      <c r="AR44" s="21" t="str">
        <f>'2010'!S42</f>
        <v>1229,2 (+264,5)</v>
      </c>
      <c r="AS44" s="79" t="str">
        <f>'2011'!S42</f>
        <v>1216,0 (+251,4)</v>
      </c>
      <c r="AT44" s="82" t="str">
        <f>'2012'!S49</f>
        <v>1274,7 (+310,1)</v>
      </c>
      <c r="AU44" s="79" t="str">
        <f>'2013'!$S49</f>
        <v>1153,0 (+188,3)</v>
      </c>
      <c r="AV44" s="81">
        <f>'2014'!$S48</f>
        <v>0</v>
      </c>
      <c r="AW44" s="81">
        <f>'2015'!$S49</f>
        <v>0</v>
      </c>
    </row>
    <row r="45" spans="1:49" ht="15" x14ac:dyDescent="0.3">
      <c r="A45" s="10" t="s">
        <v>1349</v>
      </c>
      <c r="B45" s="21" t="str">
        <f>'2010'!C43</f>
        <v>0,0 (0,0)</v>
      </c>
      <c r="C45" s="22" t="str">
        <f>'2011'!C43</f>
        <v>0,0 (0,0)</v>
      </c>
      <c r="D45" s="79" t="str">
        <f>'2012'!C50</f>
        <v>3,4 (+3,4)</v>
      </c>
      <c r="E45" s="79" t="str">
        <f>'2013'!C50</f>
        <v>0,0 (0,0)</v>
      </c>
      <c r="F45" s="79" t="str">
        <f>'2014'!$C49</f>
        <v>0,0 (0,0)</v>
      </c>
      <c r="G45" s="80" t="str">
        <f>'2010'!E43</f>
        <v>2,2 (+2,2)</v>
      </c>
      <c r="H45" s="79" t="str">
        <f>'2011'!E43</f>
        <v>2,0 (+2,0)</v>
      </c>
      <c r="I45" s="79" t="str">
        <f>'2012'!E50</f>
        <v>13,6 (+13,6)</v>
      </c>
      <c r="J45" s="79" t="str">
        <f>'2013'!$E50</f>
        <v>4,9 (+4,9)</v>
      </c>
      <c r="K45" s="81" t="str">
        <f>'2014'!$E49</f>
        <v>0,0 (0,0)</v>
      </c>
      <c r="L45" s="79" t="str">
        <f>'2010'!G43</f>
        <v>105,0 (+69,0)</v>
      </c>
      <c r="M45" s="79" t="str">
        <f>'2011'!G43</f>
        <v>67,2 (+31,1)</v>
      </c>
      <c r="N45" s="79" t="str">
        <f>'2012'!G50</f>
        <v>112,3 (+76,2)</v>
      </c>
      <c r="O45" s="79" t="str">
        <f>'2013'!$G50</f>
        <v>85,5 (+49,5)</v>
      </c>
      <c r="P45" s="79" t="str">
        <f>'2014'!$G49</f>
        <v>63,8  (+29,0)</v>
      </c>
      <c r="Q45" s="27" t="s">
        <v>1349</v>
      </c>
      <c r="R45" s="79" t="str">
        <f>'2010'!I43</f>
        <v>270,8 (+72,1)</v>
      </c>
      <c r="S45" s="79" t="str">
        <f>'2011'!I43</f>
        <v>236,9 (+38,2)</v>
      </c>
      <c r="T45" s="79" t="str">
        <f>'2012'!I50</f>
        <v>302,0 (+103,3)</v>
      </c>
      <c r="U45" s="79" t="str">
        <f>'2013'!$I50</f>
        <v>225,5 (+26,8)</v>
      </c>
      <c r="V45" s="79" t="str">
        <f>'2014'!$I49</f>
        <v>252,1 (+55,8)</v>
      </c>
      <c r="W45" s="80" t="str">
        <f>'2010'!K43</f>
        <v>563,6 (+121,2)</v>
      </c>
      <c r="X45" s="79" t="str">
        <f>'2011'!K43</f>
        <v>520,0 (+77,6)</v>
      </c>
      <c r="Y45" s="236" t="str">
        <f>'2012'!K50</f>
        <v>559,0 (+116,6)</v>
      </c>
      <c r="Z45" s="79" t="str">
        <f>'2013'!$K50</f>
        <v>490,5 (+48,1)</v>
      </c>
      <c r="AA45" s="79" t="str">
        <f>'2014'!$K49</f>
        <v>491,3 (+52,0)</v>
      </c>
      <c r="AB45" s="80" t="str">
        <f>'2010'!M43</f>
        <v>785,9 (+143,9)</v>
      </c>
      <c r="AC45" s="79" t="str">
        <f>'2011'!M43</f>
        <v>747,1 (+105,2)</v>
      </c>
      <c r="AD45" s="226" t="str">
        <f>'2012'!M50</f>
        <v>814,8 (+172,9)</v>
      </c>
      <c r="AE45" s="79" t="str">
        <f>'2013'!$M50</f>
        <v>704,4 (+62,5)</v>
      </c>
      <c r="AF45" s="81" t="str">
        <f>'2014'!$M49</f>
        <v>707,7 (+68,0)</v>
      </c>
      <c r="AG45" s="10" t="s">
        <v>1349</v>
      </c>
      <c r="AH45" s="80" t="str">
        <f>'2010'!O43</f>
        <v>888,5 (+201,5)</v>
      </c>
      <c r="AI45" s="79" t="str">
        <f>'2011'!O43</f>
        <v>862,4 (+175,4)</v>
      </c>
      <c r="AJ45" s="59" t="str">
        <f>'2012'!O50</f>
        <v>904,1 (+217,2)</v>
      </c>
      <c r="AK45" s="79" t="str">
        <f>'2013'!$O50</f>
        <v>775,2 (+88,3)</v>
      </c>
      <c r="AL45" s="79" t="str">
        <f>'2014'!$O49</f>
        <v>801,2 (+114,7)</v>
      </c>
      <c r="AM45" s="21" t="str">
        <f>'2010'!Q43</f>
        <v>893,6 (+206,6)</v>
      </c>
      <c r="AN45" s="22" t="str">
        <f>'2011'!Q43</f>
        <v>882,9 (+195,9)</v>
      </c>
      <c r="AO45" s="82" t="str">
        <f>'2012'!Q50</f>
        <v>928,9 (+242,0)</v>
      </c>
      <c r="AP45" s="79" t="str">
        <f>'2013'!$Q50</f>
        <v>797,5 (+110,5)</v>
      </c>
      <c r="AQ45" s="79">
        <f>'2014'!$Q49</f>
        <v>0</v>
      </c>
      <c r="AR45" s="21" t="str">
        <f>'2010'!S43</f>
        <v>893,6 (+206,6)</v>
      </c>
      <c r="AS45" s="79" t="str">
        <f>'2011'!S43</f>
        <v>883,0 (+196,0)</v>
      </c>
      <c r="AT45" s="82" t="str">
        <f>'2012'!S50</f>
        <v>928,9 (+242,0)</v>
      </c>
      <c r="AU45" s="79" t="str">
        <f>'2013'!$S50</f>
        <v>798,3 (+111,4)</v>
      </c>
      <c r="AV45" s="81">
        <f>'2014'!$S49</f>
        <v>0</v>
      </c>
      <c r="AW45" s="81">
        <f>'2015'!$S50</f>
        <v>0</v>
      </c>
    </row>
    <row r="46" spans="1:49" ht="15" x14ac:dyDescent="0.3">
      <c r="A46" s="10" t="s">
        <v>1350</v>
      </c>
      <c r="B46" s="21" t="str">
        <f>'2010'!C44</f>
        <v>0,0 (0,0)</v>
      </c>
      <c r="C46" s="22" t="str">
        <f>'2011'!C44</f>
        <v>0,0 (0,0)</v>
      </c>
      <c r="D46" s="79" t="str">
        <f>'2012'!C51</f>
        <v>4,9 (+4,9)</v>
      </c>
      <c r="E46" s="79" t="str">
        <f>'2013'!C51</f>
        <v>0,0 (0,0)</v>
      </c>
      <c r="F46" s="79" t="str">
        <f>'2014'!$C50</f>
        <v>0,0 (0,0)</v>
      </c>
      <c r="G46" s="80" t="str">
        <f>'2010'!E44</f>
        <v>2,0 (+2,0)</v>
      </c>
      <c r="H46" s="79" t="str">
        <f>'2011'!E44</f>
        <v>1,5 (+1,5)</v>
      </c>
      <c r="I46" s="79" t="str">
        <f>'2012'!E51</f>
        <v>13,6 (+13,6)</v>
      </c>
      <c r="J46" s="79" t="str">
        <f>'2013'!$E51</f>
        <v>4,0 (+4,0)</v>
      </c>
      <c r="K46" s="81" t="str">
        <f>'2014'!$E50</f>
        <v>0,0 (0,0)</v>
      </c>
      <c r="L46" s="79" t="str">
        <f>'2010'!G44</f>
        <v>144,2 (+87,1)</v>
      </c>
      <c r="M46" s="79" t="str">
        <f>'2011'!G44</f>
        <v>78,5 (+21,5)</v>
      </c>
      <c r="N46" s="79" t="str">
        <f>'2012'!G51</f>
        <v>132,8 (+75,7)</v>
      </c>
      <c r="O46" s="79" t="str">
        <f>'2013'!$G51</f>
        <v>105,8 (+48,8)</v>
      </c>
      <c r="P46" s="79" t="str">
        <f>'2014'!$G50</f>
        <v>93,4  (+42,1)</v>
      </c>
      <c r="Q46" s="27" t="s">
        <v>1350</v>
      </c>
      <c r="R46" s="79" t="str">
        <f>'2010'!I44</f>
        <v>351,5 (+103,3)</v>
      </c>
      <c r="S46" s="79" t="str">
        <f>'2011'!I44</f>
        <v>293,9 (+45,6)</v>
      </c>
      <c r="T46" s="79" t="str">
        <f>'2012'!I51</f>
        <v>356,3 (+108,1)</v>
      </c>
      <c r="U46" s="79" t="str">
        <f>'2013'!$I51</f>
        <v>289,3 (+41,1)</v>
      </c>
      <c r="V46" s="79" t="str">
        <f>'2014'!$I50</f>
        <v>323,3 (+87,9)</v>
      </c>
      <c r="W46" s="80" t="str">
        <f>'2010'!K44</f>
        <v>690,4 (+168,2)</v>
      </c>
      <c r="X46" s="79" t="str">
        <f>'2011'!K44</f>
        <v>627,1 (+104,8)</v>
      </c>
      <c r="Y46" s="236" t="str">
        <f>'2012'!K51</f>
        <v>666,8 (+144,5)</v>
      </c>
      <c r="Z46" s="79" t="str">
        <f>'2013'!$K51</f>
        <v>601,6 (+79,4)</v>
      </c>
      <c r="AA46" s="79" t="str">
        <f>'2014'!$K50</f>
        <v>596,5 (+94,0)</v>
      </c>
      <c r="AB46" s="80" t="str">
        <f>'2010'!M44</f>
        <v>948,3 (+197,7)</v>
      </c>
      <c r="AC46" s="79" t="str">
        <f>'2011'!M44</f>
        <v>895,8 (+145,1)</v>
      </c>
      <c r="AD46" s="226" t="str">
        <f>'2012'!M51</f>
        <v>962,9 (+212,2)</v>
      </c>
      <c r="AE46" s="79" t="str">
        <f>'2013'!$M51</f>
        <v>852,9 (+102,2)</v>
      </c>
      <c r="AF46" s="81" t="str">
        <f>'2014'!$M50</f>
        <v>852,9 (+128,7)</v>
      </c>
      <c r="AG46" s="10" t="s">
        <v>1350</v>
      </c>
      <c r="AH46" s="80" t="str">
        <f>'2010'!O44</f>
        <v>1074,6 (+257,2)</v>
      </c>
      <c r="AI46" s="79" t="str">
        <f>'2011'!O44</f>
        <v>1044,9 (+227,5)</v>
      </c>
      <c r="AJ46" s="59" t="str">
        <f>'2012'!O51</f>
        <v>1071,4 (+254,0)</v>
      </c>
      <c r="AK46" s="79" t="str">
        <f>'2013'!$O51</f>
        <v>950,7 (+133,3)</v>
      </c>
      <c r="AL46" s="79" t="str">
        <f>'2014'!$O50</f>
        <v>975,4 (+187,8)</v>
      </c>
      <c r="AM46" s="21" t="str">
        <f>'2010'!Q44</f>
        <v>1083,9 (+266,5)</v>
      </c>
      <c r="AN46" s="22" t="str">
        <f>'2011'!Q44</f>
        <v>1071,6 (+254,2)</v>
      </c>
      <c r="AO46" s="82" t="str">
        <f>'2012'!Q51</f>
        <v>1097,9 (+280,4)</v>
      </c>
      <c r="AP46" s="79" t="str">
        <f>'2013'!$Q51</f>
        <v>989,9 (+172,5)</v>
      </c>
      <c r="AQ46" s="79">
        <f>'2014'!$Q50</f>
        <v>0</v>
      </c>
      <c r="AR46" s="21" t="str">
        <f>'2010'!S44</f>
        <v>1083,9 (+266,5)</v>
      </c>
      <c r="AS46" s="79" t="str">
        <f>'2011'!S44</f>
        <v>1071,6 (+254,2)</v>
      </c>
      <c r="AT46" s="82" t="str">
        <f>'2012'!S51</f>
        <v>1097,9 (+280,4)</v>
      </c>
      <c r="AU46" s="79" t="str">
        <f>'2013'!$S51</f>
        <v>991,3 (+173,9)</v>
      </c>
      <c r="AV46" s="81">
        <f>'2014'!$S50</f>
        <v>0</v>
      </c>
      <c r="AW46" s="81">
        <f>'2015'!$S51</f>
        <v>0</v>
      </c>
    </row>
    <row r="47" spans="1:49" ht="15" x14ac:dyDescent="0.3">
      <c r="A47" s="10" t="s">
        <v>1351</v>
      </c>
      <c r="B47" s="21" t="str">
        <f>'2010'!C45</f>
        <v>0,0 (0,0)</v>
      </c>
      <c r="C47" s="22" t="str">
        <f>'2011'!C45</f>
        <v>0,0 (0,0)</v>
      </c>
      <c r="D47" s="79" t="str">
        <f>'2012'!C52</f>
        <v>8,1 (+8,1)</v>
      </c>
      <c r="E47" s="79" t="str">
        <f>'2013'!C52</f>
        <v>0,0 (0,0)</v>
      </c>
      <c r="F47" s="79" t="str">
        <f>'2014'!$C51</f>
        <v>0,0 (0,0)</v>
      </c>
      <c r="G47" s="80" t="str">
        <f>'2010'!E45</f>
        <v>10,3 (+10,3)</v>
      </c>
      <c r="H47" s="79" t="str">
        <f>'2011'!E45</f>
        <v>0,7 (+0,7)</v>
      </c>
      <c r="I47" s="79" t="str">
        <f>'2012'!E52</f>
        <v>18,1 (+18,1)</v>
      </c>
      <c r="J47" s="79" t="str">
        <f>'2013'!$E52</f>
        <v>5,6 (+5,6)</v>
      </c>
      <c r="K47" s="81" t="str">
        <f>'2014'!$E51</f>
        <v>0,2 (+0,2)</v>
      </c>
      <c r="L47" s="79" t="str">
        <f>'2010'!G45</f>
        <v>142,8 (+106,0)</v>
      </c>
      <c r="M47" s="79" t="str">
        <f>'2011'!G45</f>
        <v>64,7 (+28,0)</v>
      </c>
      <c r="N47" s="79" t="str">
        <f>'2012'!G52</f>
        <v>121,7 (+85,0)</v>
      </c>
      <c r="O47" s="79" t="str">
        <f>'2013'!$G52</f>
        <v>107,2 (+70,4)</v>
      </c>
      <c r="P47" s="79" t="str">
        <f>'2014'!$G51</f>
        <v>79,8  (+45,4)</v>
      </c>
      <c r="Q47" s="27" t="s">
        <v>1351</v>
      </c>
      <c r="R47" s="79" t="str">
        <f>'2010'!I45</f>
        <v>306,7 (+107,8)</v>
      </c>
      <c r="S47" s="79" t="str">
        <f>'2011'!I45</f>
        <v>248,4 (+49,5)</v>
      </c>
      <c r="T47" s="79" t="str">
        <f>'2012'!I52</f>
        <v>314,3 (+115,4)</v>
      </c>
      <c r="U47" s="79" t="str">
        <f>'2013'!$I52</f>
        <v>251,6 (+52,7)</v>
      </c>
      <c r="V47" s="79" t="str">
        <f>'2014'!$I51</f>
        <v>279,3 (+85,6)</v>
      </c>
      <c r="W47" s="80" t="str">
        <f>'2010'!K45</f>
        <v>614,3 (+171,0)</v>
      </c>
      <c r="X47" s="79" t="str">
        <f>'2011'!K45</f>
        <v>548,5 (+105,3)</v>
      </c>
      <c r="Y47" s="236" t="str">
        <f>'2012'!K52</f>
        <v>595,5 (+152,2)</v>
      </c>
      <c r="Z47" s="79" t="str">
        <f>'2013'!$K52</f>
        <v>530,4 (+87,2)</v>
      </c>
      <c r="AA47" s="79" t="str">
        <f>'2014'!$K51</f>
        <v>520,9 (+85,5)</v>
      </c>
      <c r="AB47" s="80" t="str">
        <f>'2010'!M45</f>
        <v>860,6 (+217,6)</v>
      </c>
      <c r="AC47" s="79" t="str">
        <f>'2011'!M45</f>
        <v>789,1 (+146,1)</v>
      </c>
      <c r="AD47" s="226" t="str">
        <f>'2012'!M52</f>
        <v>854,3 (+211,3)</v>
      </c>
      <c r="AE47" s="79" t="str">
        <f>'2013'!$M52</f>
        <v>750,6 (+107,6)</v>
      </c>
      <c r="AF47" s="81" t="str">
        <f>'2014'!$M51</f>
        <v>746,7 (+113,6)</v>
      </c>
      <c r="AG47" s="10" t="s">
        <v>1351</v>
      </c>
      <c r="AH47" s="80" t="str">
        <f>'2010'!O45</f>
        <v>956,9 (+267,5)</v>
      </c>
      <c r="AI47" s="79" t="str">
        <f>'2011'!O45</f>
        <v>915,6 (+226,2)</v>
      </c>
      <c r="AJ47" s="59" t="str">
        <f>'2012'!O52</f>
        <v>944,5 (+255,1)</v>
      </c>
      <c r="AK47" s="79" t="str">
        <f>'2013'!$O52</f>
        <v>829,4 (+140,0)</v>
      </c>
      <c r="AL47" s="79" t="str">
        <f>'2014'!$O51</f>
        <v>850,4 (+171,3)</v>
      </c>
      <c r="AM47" s="21" t="str">
        <f>'2010'!Q45</f>
        <v>960,1 (+270,7)</v>
      </c>
      <c r="AN47" s="22" t="str">
        <f>'2011'!Q45</f>
        <v>943,5 (+254,0)</v>
      </c>
      <c r="AO47" s="82" t="str">
        <f>'2012'!Q52</f>
        <v>963,2 (+273,8)</v>
      </c>
      <c r="AP47" s="79" t="str">
        <f>'2013'!$Q52</f>
        <v>865,9 (+176,5)</v>
      </c>
      <c r="AQ47" s="79">
        <f>'2014'!$Q51</f>
        <v>0</v>
      </c>
      <c r="AR47" s="21" t="str">
        <f>'2010'!S45</f>
        <v>960,1 (+270,7)</v>
      </c>
      <c r="AS47" s="79" t="str">
        <f>'2011'!S45</f>
        <v>943,5 (+254,0)</v>
      </c>
      <c r="AT47" s="82" t="str">
        <f>'2012'!S52</f>
        <v>963,2 (+273,8)</v>
      </c>
      <c r="AU47" s="79" t="str">
        <f>'2013'!$S52</f>
        <v>865,9 (+176,5)</v>
      </c>
      <c r="AV47" s="81">
        <f>'2014'!$S51</f>
        <v>0</v>
      </c>
      <c r="AW47" s="81">
        <f>'2015'!$S52</f>
        <v>0</v>
      </c>
    </row>
    <row r="48" spans="1:49" ht="15" x14ac:dyDescent="0.3">
      <c r="A48" s="10" t="s">
        <v>1352</v>
      </c>
      <c r="B48" s="21" t="str">
        <f>'2010'!C46</f>
        <v>0,0 (0,0)</v>
      </c>
      <c r="C48" s="22" t="str">
        <f>'2011'!C46</f>
        <v>0,0 (0,0)</v>
      </c>
      <c r="D48" s="79" t="str">
        <f>'2012'!C53</f>
        <v>2,3 (+2,3)</v>
      </c>
      <c r="E48" s="79" t="str">
        <f>'2013'!C53</f>
        <v>0,0 (0,0)</v>
      </c>
      <c r="F48" s="79" t="str">
        <f>'2014'!$C52</f>
        <v>0,0 (0,0)</v>
      </c>
      <c r="G48" s="80" t="str">
        <f>'2010'!E46</f>
        <v>11,2 (+11,2)</v>
      </c>
      <c r="H48" s="79" t="str">
        <f>'2011'!E46</f>
        <v>4,6 (+4,6)</v>
      </c>
      <c r="I48" s="79" t="str">
        <f>'2012'!E53</f>
        <v>13,7 (+13,7)</v>
      </c>
      <c r="J48" s="79" t="str">
        <f>'2013'!$E53</f>
        <v>10,2 (+10,2)</v>
      </c>
      <c r="K48" s="81" t="str">
        <f>'2014'!$E52</f>
        <v>0,0 (0,0)</v>
      </c>
      <c r="L48" s="79" t="str">
        <f>'2010'!G46</f>
        <v>149,6 (+69,7)</v>
      </c>
      <c r="M48" s="79" t="str">
        <f>'2011'!G46</f>
        <v>94,5 (+14,7)</v>
      </c>
      <c r="N48" s="79" t="str">
        <f>'2012'!G53</f>
        <v>143,2 (+63,3)</v>
      </c>
      <c r="O48" s="79" t="str">
        <f>'2013'!$G53</f>
        <v>132,3 (+52,4)</v>
      </c>
      <c r="P48" s="79" t="str">
        <f>'2014'!$G52</f>
        <v>100,7  (+24,9)</v>
      </c>
      <c r="Q48" s="27" t="s">
        <v>1352</v>
      </c>
      <c r="R48" s="79" t="str">
        <f>'2010'!I46</f>
        <v>352,8 (+52,4)</v>
      </c>
      <c r="S48" s="79" t="str">
        <f>'2011'!I46</f>
        <v>319,1 (+18,7)</v>
      </c>
      <c r="T48" s="79" t="str">
        <f>'2012'!I53</f>
        <v>393,9 (+93,5)</v>
      </c>
      <c r="U48" s="79" t="str">
        <f>'2013'!$I53</f>
        <v>319,1 (+18,7)</v>
      </c>
      <c r="V48" s="79" t="str">
        <f>'2014'!$I52</f>
        <v>342,2 (+48,8)</v>
      </c>
      <c r="W48" s="80" t="str">
        <f>'2010'!K46</f>
        <v>701,0 (+96,7)</v>
      </c>
      <c r="X48" s="79" t="str">
        <f>'2011'!K46</f>
        <v>661,5 (+57,1)</v>
      </c>
      <c r="Y48" s="236" t="str">
        <f>'2012'!K53</f>
        <v>715,0 (+110,6)</v>
      </c>
      <c r="Z48" s="79" t="str">
        <f>'2013'!$K53</f>
        <v>636,6 (+32,2)</v>
      </c>
      <c r="AA48" s="79" t="str">
        <f>'2014'!$K52</f>
        <v>634,7 (+38,8)</v>
      </c>
      <c r="AB48" s="80" t="str">
        <f>'2010'!M46</f>
        <v>979,9 (+116,3)</v>
      </c>
      <c r="AC48" s="79" t="str">
        <f>'2011'!M46</f>
        <v>945,2 (+81,6)</v>
      </c>
      <c r="AD48" s="226" t="str">
        <f>'2012'!M53</f>
        <v>1023,4 (+159,8)</v>
      </c>
      <c r="AE48" s="79" t="str">
        <f>'2013'!$M53</f>
        <v>895,9 (+32,2)</v>
      </c>
      <c r="AF48" s="81" t="str">
        <f>'2014'!$M52</f>
        <v>901,6 (+47,2)</v>
      </c>
      <c r="AG48" s="10" t="s">
        <v>1352</v>
      </c>
      <c r="AH48" s="80" t="str">
        <f>'2010'!O46</f>
        <v>1129,0 (+172,3)</v>
      </c>
      <c r="AI48" s="79" t="str">
        <f>'2011'!O46</f>
        <v>1112,2 (+155,5)</v>
      </c>
      <c r="AJ48" s="59" t="str">
        <f>'2012'!O53</f>
        <v>1151,2 (+194,5)</v>
      </c>
      <c r="AK48" s="79" t="str">
        <f>'2013'!$O53</f>
        <v>1000,8 (+44,1)</v>
      </c>
      <c r="AL48" s="79" t="str">
        <f>'2014'!$O52</f>
        <v>1030,2 (+82,0)</v>
      </c>
      <c r="AM48" s="21" t="str">
        <f>'2010'!Q46</f>
        <v>1138,6 (+181,7)</v>
      </c>
      <c r="AN48" s="22" t="str">
        <f>'2011'!Q46</f>
        <v>1146,6 (+189,7)</v>
      </c>
      <c r="AO48" s="82" t="str">
        <f>'2012'!Q53</f>
        <v>1181,7 (+224,8)</v>
      </c>
      <c r="AP48" s="79" t="str">
        <f>'2013'!$Q53</f>
        <v>1044,5 (+87,6)</v>
      </c>
      <c r="AQ48" s="79">
        <f>'2014'!$Q52</f>
        <v>0</v>
      </c>
      <c r="AR48" s="21" t="str">
        <f>'2010'!S46</f>
        <v>1138,6 (+181,7)</v>
      </c>
      <c r="AS48" s="79" t="str">
        <f>'2011'!S46</f>
        <v>1148,6 (+191,7)</v>
      </c>
      <c r="AT48" s="82" t="str">
        <f>'2012'!S53</f>
        <v>1181,7 (+224,8)</v>
      </c>
      <c r="AU48" s="79" t="str">
        <f>'2013'!$S53</f>
        <v>1046,7 (+89,8)</v>
      </c>
      <c r="AV48" s="81">
        <f>'2014'!$S52</f>
        <v>0</v>
      </c>
      <c r="AW48" s="81">
        <f>'2015'!$S53</f>
        <v>0</v>
      </c>
    </row>
    <row r="49" spans="1:49" ht="15" x14ac:dyDescent="0.3">
      <c r="A49" s="10" t="s">
        <v>1353</v>
      </c>
      <c r="B49" s="21" t="str">
        <f>'2010'!C47</f>
        <v>0,0 (0,0)</v>
      </c>
      <c r="C49" s="22" t="str">
        <f>'2011'!C47</f>
        <v>0,0 (0,0)</v>
      </c>
      <c r="D49" s="79" t="str">
        <f>'2012'!C54</f>
        <v>0,0 (0,0)</v>
      </c>
      <c r="E49" s="79" t="str">
        <f>'2013'!C54</f>
        <v>0,0 (0,0)</v>
      </c>
      <c r="F49" s="79" t="str">
        <f>'2014'!$C53</f>
        <v>0,0 (0,0)</v>
      </c>
      <c r="G49" s="80" t="str">
        <f>'2010'!E47</f>
        <v>12,5 (+12,5)</v>
      </c>
      <c r="H49" s="79" t="str">
        <f>'2011'!E47</f>
        <v>2,0 (+2,0)</v>
      </c>
      <c r="I49" s="79" t="str">
        <f>'2012'!E54</f>
        <v>15,2 (+15,2)</v>
      </c>
      <c r="J49" s="79" t="str">
        <f>'2013'!$E54</f>
        <v>10,2 (+10,2)</v>
      </c>
      <c r="K49" s="81" t="str">
        <f>'2014'!$E53</f>
        <v>0,0 (0,0)</v>
      </c>
      <c r="L49" s="79" t="str">
        <f>'2010'!G47</f>
        <v>156,2 (+89,6)</v>
      </c>
      <c r="M49" s="79" t="str">
        <f>'2011'!G47</f>
        <v>82,9 (+16,3)</v>
      </c>
      <c r="N49" s="79" t="str">
        <f>'2012'!G54</f>
        <v>149,2 (+82,6)</v>
      </c>
      <c r="O49" s="79" t="str">
        <f>'2013'!$G54</f>
        <v>133,4 (+66,8)</v>
      </c>
      <c r="P49" s="79" t="str">
        <f>'2014'!$G53</f>
        <v>101,7  (+35,8)</v>
      </c>
      <c r="Q49" s="27" t="s">
        <v>1353</v>
      </c>
      <c r="R49" s="79" t="str">
        <f>'2010'!I47</f>
        <v>368,5 (+94,4)</v>
      </c>
      <c r="S49" s="79" t="str">
        <f>'2011'!I47</f>
        <v>312,2 (+38,1)</v>
      </c>
      <c r="T49" s="79" t="str">
        <f>'2012'!I54</f>
        <v>397,0 (+122,9)</v>
      </c>
      <c r="U49" s="79" t="str">
        <f>'2013'!$I54</f>
        <v>310,8 (+36,7)</v>
      </c>
      <c r="V49" s="79" t="str">
        <f>'2014'!$I53</f>
        <v>355,3 (+82,9)</v>
      </c>
      <c r="W49" s="80" t="str">
        <f>'2010'!K47</f>
        <v>725,5 (+159,9)</v>
      </c>
      <c r="X49" s="79" t="str">
        <f>'2011'!K47</f>
        <v>656,2 (+90,6)</v>
      </c>
      <c r="Y49" s="236" t="str">
        <f>'2012'!K54</f>
        <v>724,8 (+159,2)</v>
      </c>
      <c r="Z49" s="79" t="str">
        <f>'2013'!$K54</f>
        <v>635,9 (+70,3)</v>
      </c>
      <c r="AA49" s="79" t="str">
        <f>'2014'!$K53</f>
        <v>661,7 (+97,4)</v>
      </c>
      <c r="AB49" s="80" t="str">
        <f>'2010'!M47</f>
        <v>1012,7 (+199,7)</v>
      </c>
      <c r="AC49" s="79" t="str">
        <f>'2011'!M47</f>
        <v>949,2 (+136,2)</v>
      </c>
      <c r="AD49" s="226" t="str">
        <f>'2012'!M54</f>
        <v>1039,8 (+226,7)</v>
      </c>
      <c r="AE49" s="79" t="str">
        <f>'2013'!$M54</f>
        <v>902,1 (+89,0)</v>
      </c>
      <c r="AF49" s="81" t="str">
        <f>'2014'!$M53</f>
        <v>942,4 (+129,1)</v>
      </c>
      <c r="AG49" s="10" t="s">
        <v>1353</v>
      </c>
      <c r="AH49" s="80" t="str">
        <f>'2010'!O47</f>
        <v>1159,1 (+263,6)</v>
      </c>
      <c r="AI49" s="79" t="str">
        <f>'2011'!O47</f>
        <v>1130,7 (+235,2)</v>
      </c>
      <c r="AJ49" s="59" t="str">
        <f>'2012'!O54</f>
        <v>1179,1 (+283,7)</v>
      </c>
      <c r="AK49" s="79" t="str">
        <f>'2013'!$O54</f>
        <v>1008,4 (+113,0)</v>
      </c>
      <c r="AL49" s="79" t="str">
        <f>'2014'!$O53</f>
        <v>1075,9 (+177,1)</v>
      </c>
      <c r="AM49" s="21" t="str">
        <f>'2010'!Q47</f>
        <v>1168,8 (+273,4)</v>
      </c>
      <c r="AN49" s="22" t="str">
        <f>'2011'!Q47</f>
        <v>1164,6 (+269,1)</v>
      </c>
      <c r="AO49" s="82" t="str">
        <f>'2012'!Q54</f>
        <v>1213,1 (+317,7)</v>
      </c>
      <c r="AP49" s="79" t="str">
        <f>'2013'!$Q54</f>
        <v>1045,0 (+149,5)</v>
      </c>
      <c r="AQ49" s="79">
        <f>'2014'!$Q53</f>
        <v>0</v>
      </c>
      <c r="AR49" s="21" t="str">
        <f>'2010'!S47</f>
        <v>1168,8 (+273,4)</v>
      </c>
      <c r="AS49" s="79" t="str">
        <f>'2011'!S47</f>
        <v>1165,9 (+270,4)</v>
      </c>
      <c r="AT49" s="82" t="str">
        <f>'2012'!S54</f>
        <v>1213,1 (+317,7)</v>
      </c>
      <c r="AU49" s="79" t="str">
        <f>'2013'!$S54</f>
        <v>1047,0 (+151,5)</v>
      </c>
      <c r="AV49" s="81">
        <f>'2014'!$S53</f>
        <v>0</v>
      </c>
      <c r="AW49" s="81">
        <f>'2015'!$S54</f>
        <v>0</v>
      </c>
    </row>
    <row r="50" spans="1:49" ht="15" x14ac:dyDescent="0.3">
      <c r="A50" s="10" t="s">
        <v>1354</v>
      </c>
      <c r="B50" s="21" t="str">
        <f>'2010'!C48</f>
        <v>0,0 (0,0)</v>
      </c>
      <c r="C50" s="22" t="str">
        <f>'2011'!C48</f>
        <v>0,0 (0,0)</v>
      </c>
      <c r="D50" s="79" t="str">
        <f>'2012'!C55</f>
        <v>4,4 (+4,4)</v>
      </c>
      <c r="E50" s="79" t="str">
        <f>'2013'!C55</f>
        <v>0,0 (0,0)</v>
      </c>
      <c r="F50" s="79" t="str">
        <f>'2014'!$C54</f>
        <v>0,0 (0,0)</v>
      </c>
      <c r="G50" s="80" t="str">
        <f>'2010'!E48</f>
        <v>11,5 (+11,5)</v>
      </c>
      <c r="H50" s="79" t="str">
        <f>'2011'!E48</f>
        <v>2,2 (+2,2)</v>
      </c>
      <c r="I50" s="79" t="str">
        <f>'2012'!E55</f>
        <v>17,1 (+17,1)</v>
      </c>
      <c r="J50" s="79" t="str">
        <f>'2013'!$E55</f>
        <v>10,2 (+10,2)</v>
      </c>
      <c r="K50" s="81" t="str">
        <f>'2014'!$E54</f>
        <v>0,0 (0,0)</v>
      </c>
      <c r="L50" s="79" t="str">
        <f>'2010'!G48</f>
        <v>157,2 (+89,3)</v>
      </c>
      <c r="M50" s="79" t="str">
        <f>'2011'!G48</f>
        <v>79,0 (+11,1)</v>
      </c>
      <c r="N50" s="79" t="str">
        <f>'2012'!G55</f>
        <v>139,0 (+71,1)</v>
      </c>
      <c r="O50" s="79" t="str">
        <f>'2013'!$G55</f>
        <v>128,8 (+60,9)</v>
      </c>
      <c r="P50" s="79" t="str">
        <f>'2014'!$G54</f>
        <v>102,7  (+39,7)</v>
      </c>
      <c r="Q50" s="27" t="s">
        <v>1354</v>
      </c>
      <c r="R50" s="79" t="str">
        <f>'2010'!I48</f>
        <v>361,4 (+87,1)</v>
      </c>
      <c r="S50" s="79" t="str">
        <f>'2011'!I48</f>
        <v>298,7 (+24,3)</v>
      </c>
      <c r="T50" s="79" t="str">
        <f>'2012'!I55</f>
        <v>377,6 (+103,3)</v>
      </c>
      <c r="U50" s="79" t="str">
        <f>'2013'!$I55</f>
        <v>308,7 (+34,3)</v>
      </c>
      <c r="V50" s="79" t="str">
        <f>'2014'!$I54</f>
        <v>349,6 (+81,7)</v>
      </c>
      <c r="W50" s="80" t="str">
        <f>'2010'!K48</f>
        <v>712,5 (+148,3)</v>
      </c>
      <c r="X50" s="79" t="str">
        <f>'2011'!K48</f>
        <v>642,6 (+78,4)</v>
      </c>
      <c r="Y50" s="236" t="str">
        <f>'2012'!K55</f>
        <v>696,4 (+132,3)</v>
      </c>
      <c r="Z50" s="79" t="str">
        <f>'2013'!$K55</f>
        <v>634,4 (+70,2)</v>
      </c>
      <c r="AA50" s="79" t="str">
        <f>'2014'!$K54</f>
        <v>650,1 (+94,7)</v>
      </c>
      <c r="AB50" s="80" t="str">
        <f>'2010'!M48</f>
        <v>994,6 (+185,2)</v>
      </c>
      <c r="AC50" s="79" t="str">
        <f>'2011'!M48</f>
        <v>919,0 (+109,7)</v>
      </c>
      <c r="AD50" s="226" t="str">
        <f>'2012'!M55</f>
        <v>999,3 (+189,9)</v>
      </c>
      <c r="AE50" s="79" t="str">
        <f>'2013'!$M55</f>
        <v>903,4 (+94,1)</v>
      </c>
      <c r="AF50" s="81" t="str">
        <f>'2014'!$M54</f>
        <v>926,4 (+127,4)</v>
      </c>
      <c r="AG50" s="10" t="s">
        <v>1354</v>
      </c>
      <c r="AH50" s="80" t="str">
        <f>'2010'!O48</f>
        <v>1127,2 (+238,1)</v>
      </c>
      <c r="AI50" s="79" t="str">
        <f>'2011'!O48</f>
        <v>1084,4 (+195,3)</v>
      </c>
      <c r="AJ50" s="59" t="str">
        <f>'2012'!O55</f>
        <v>1125,7 (+236,6)</v>
      </c>
      <c r="AK50" s="79" t="str">
        <f>'2013'!$O55</f>
        <v>1010,1 (+121,0)</v>
      </c>
      <c r="AL50" s="79" t="str">
        <f>'2014'!$O54</f>
        <v>1061,5 (+182,1)</v>
      </c>
      <c r="AM50" s="21" t="str">
        <f>'2010'!Q48</f>
        <v>1133,4 (+244,4)</v>
      </c>
      <c r="AN50" s="22" t="str">
        <f>'2011'!Q48</f>
        <v>1112,2 (+223,1)</v>
      </c>
      <c r="AO50" s="82" t="str">
        <f>'2012'!Q55</f>
        <v>1151,2 (+262,1)</v>
      </c>
      <c r="AP50" s="79" t="str">
        <f>'2013'!$Q55</f>
        <v>1051,7 (+162,6)</v>
      </c>
      <c r="AQ50" s="79">
        <f>'2014'!$Q54</f>
        <v>0</v>
      </c>
      <c r="AR50" s="21" t="str">
        <f>'2010'!S48</f>
        <v>1133,4 (+244,4)</v>
      </c>
      <c r="AS50" s="79" t="str">
        <f>'2011'!S48</f>
        <v>1113,1 (+224,0)</v>
      </c>
      <c r="AT50" s="82" t="str">
        <f>'2012'!S55</f>
        <v>1151,2 (+262,1)</v>
      </c>
      <c r="AU50" s="79" t="str">
        <f>'2013'!$S55</f>
        <v>1053,3 (+164,3)</v>
      </c>
      <c r="AV50" s="81">
        <f>'2014'!$S54</f>
        <v>0</v>
      </c>
      <c r="AW50" s="81">
        <f>'2015'!$S55</f>
        <v>0</v>
      </c>
    </row>
    <row r="51" spans="1:49" ht="15" x14ac:dyDescent="0.3">
      <c r="A51" s="10"/>
      <c r="B51" s="21"/>
      <c r="C51" s="22"/>
      <c r="D51" s="79"/>
      <c r="E51" s="79"/>
      <c r="F51" s="79"/>
      <c r="G51" s="80"/>
      <c r="H51" s="79"/>
      <c r="I51" s="79"/>
      <c r="J51" s="79"/>
      <c r="K51" s="81"/>
      <c r="L51" s="79"/>
      <c r="M51" s="79"/>
      <c r="N51" s="79"/>
      <c r="O51" s="79"/>
      <c r="P51" s="79"/>
      <c r="Q51" s="27"/>
      <c r="R51" s="79"/>
      <c r="S51" s="79"/>
      <c r="T51" s="79"/>
      <c r="U51" s="79"/>
      <c r="V51" s="79"/>
      <c r="W51" s="80"/>
      <c r="X51" s="79"/>
      <c r="Y51" s="236"/>
      <c r="Z51" s="79"/>
      <c r="AA51" s="79"/>
      <c r="AB51" s="80"/>
      <c r="AC51" s="79"/>
      <c r="AD51" s="226"/>
      <c r="AE51" s="79"/>
      <c r="AF51" s="81"/>
      <c r="AG51" s="10"/>
      <c r="AH51" s="80"/>
      <c r="AI51" s="79"/>
      <c r="AJ51" s="59"/>
      <c r="AK51" s="79"/>
      <c r="AL51" s="79"/>
      <c r="AM51" s="21"/>
      <c r="AN51" s="22"/>
      <c r="AO51" s="82"/>
      <c r="AP51" s="79"/>
      <c r="AQ51" s="79"/>
      <c r="AR51" s="21"/>
      <c r="AS51" s="79"/>
      <c r="AT51" s="82"/>
      <c r="AU51" s="79"/>
      <c r="AV51" s="81"/>
      <c r="AW51" s="81"/>
    </row>
    <row r="52" spans="1:49" ht="15" x14ac:dyDescent="0.3">
      <c r="A52" s="10"/>
      <c r="B52" s="21"/>
      <c r="C52" s="22"/>
      <c r="D52" s="79"/>
      <c r="E52" s="79"/>
      <c r="F52" s="79"/>
      <c r="G52" s="80"/>
      <c r="H52" s="79"/>
      <c r="I52" s="79"/>
      <c r="J52" s="79"/>
      <c r="K52" s="81"/>
      <c r="L52" s="79"/>
      <c r="M52" s="79"/>
      <c r="N52" s="79"/>
      <c r="O52" s="79"/>
      <c r="P52" s="79"/>
      <c r="Q52" s="27"/>
      <c r="R52" s="79"/>
      <c r="S52" s="79"/>
      <c r="T52" s="79"/>
      <c r="U52" s="79"/>
      <c r="V52" s="79"/>
      <c r="W52" s="80"/>
      <c r="X52" s="79"/>
      <c r="Y52" s="236"/>
      <c r="Z52" s="79"/>
      <c r="AA52" s="79"/>
      <c r="AB52" s="80"/>
      <c r="AC52" s="79"/>
      <c r="AD52" s="226"/>
      <c r="AE52" s="79"/>
      <c r="AF52" s="81"/>
      <c r="AG52" s="10"/>
      <c r="AH52" s="80"/>
      <c r="AI52" s="79"/>
      <c r="AJ52" s="59"/>
      <c r="AK52" s="79"/>
      <c r="AL52" s="79"/>
      <c r="AM52" s="21"/>
      <c r="AN52" s="22"/>
      <c r="AO52" s="82"/>
      <c r="AP52" s="79"/>
      <c r="AQ52" s="79"/>
      <c r="AR52" s="21"/>
      <c r="AS52" s="79"/>
      <c r="AT52" s="82"/>
      <c r="AU52" s="79"/>
      <c r="AV52" s="81"/>
      <c r="AW52" s="81"/>
    </row>
    <row r="53" spans="1:49" ht="15" x14ac:dyDescent="0.3">
      <c r="A53" s="10" t="s">
        <v>1355</v>
      </c>
      <c r="B53" s="21" t="str">
        <f>'2010'!C51</f>
        <v>0,0 (0,0)</v>
      </c>
      <c r="C53" s="22" t="str">
        <f>'2011'!C51</f>
        <v>0,0 (0,0)</v>
      </c>
      <c r="D53" s="79" t="str">
        <f>'2012'!C58</f>
        <v>0,1 (+0,1)</v>
      </c>
      <c r="E53" s="79" t="str">
        <f>'2013'!C58</f>
        <v>0,0 (0,0)</v>
      </c>
      <c r="F53" s="79" t="str">
        <f>'2014'!$C57</f>
        <v>0,0 (0,0)</v>
      </c>
      <c r="G53" s="80" t="str">
        <f>'2010'!E51</f>
        <v>11,8 (+11,8)</v>
      </c>
      <c r="H53" s="79" t="str">
        <f>'2011'!E51</f>
        <v>3,4 (+3,4)</v>
      </c>
      <c r="I53" s="79" t="str">
        <f>'2012'!E58</f>
        <v>10,0 (+10,0)</v>
      </c>
      <c r="J53" s="79" t="str">
        <f>'2013'!$E58</f>
        <v>9,2 (+9,2)</v>
      </c>
      <c r="K53" s="81" t="str">
        <f>'2014'!$E57</f>
        <v>0,0 (0,0)</v>
      </c>
      <c r="L53" s="79" t="str">
        <f>'2010'!G51</f>
        <v>173,8 (+94,4)</v>
      </c>
      <c r="M53" s="79" t="str">
        <f>'2011'!G51</f>
        <v>82,5 (+3,1)</v>
      </c>
      <c r="N53" s="79" t="str">
        <f>'2012'!G58</f>
        <v>152,6 (+73,2)</v>
      </c>
      <c r="O53" s="79" t="str">
        <f>'2013'!$G58</f>
        <v>127,5 (+48,1)</v>
      </c>
      <c r="P53" s="79" t="str">
        <f>'2014'!$G57</f>
        <v>103,2  (+25,8)</v>
      </c>
      <c r="Q53" s="27" t="s">
        <v>1355</v>
      </c>
      <c r="R53" s="79" t="str">
        <f>'2010'!I51</f>
        <v>416,3 (+116,7)</v>
      </c>
      <c r="S53" s="79" t="str">
        <f>'2011'!I51</f>
        <v>328,2 (+28,7)</v>
      </c>
      <c r="T53" s="79" t="str">
        <f>'2012'!I58</f>
        <v>428,4 (+128,9)</v>
      </c>
      <c r="U53" s="79" t="str">
        <f>'2013'!$I58</f>
        <v>326,1 (+26,5)</v>
      </c>
      <c r="V53" s="79" t="str">
        <f>'2014'!$I57</f>
        <v>375,5 (+78,8)</v>
      </c>
      <c r="W53" s="80" t="str">
        <f>'2010'!K51</f>
        <v>800,0 (+196,6)</v>
      </c>
      <c r="X53" s="79" t="str">
        <f>'2011'!K51</f>
        <v>715,5 (+112,1)</v>
      </c>
      <c r="Y53" s="236" t="str">
        <f>'2012'!K58</f>
        <v>792,0 (+188,6)</v>
      </c>
      <c r="Z53" s="79" t="str">
        <f>'2013'!$K58</f>
        <v>681,0 (+77,7)</v>
      </c>
      <c r="AA53" s="79">
        <f>'2014'!$K57</f>
        <v>709.1</v>
      </c>
      <c r="AB53" s="80" t="str">
        <f>'2010'!M51</f>
        <v>1122,0 (+259,5)</v>
      </c>
      <c r="AC53" s="79" t="str">
        <f>'2011'!M51</f>
        <v>1036,7 (+174,2)</v>
      </c>
      <c r="AD53" s="226" t="str">
        <f>'2012'!M58</f>
        <v>1141,6 (+279,1)</v>
      </c>
      <c r="AE53" s="79" t="str">
        <f>'2013'!$M58</f>
        <v>977,2 (+114,7)</v>
      </c>
      <c r="AF53" s="81" t="str">
        <f>'2014'!$M57</f>
        <v>1014,8 (+151,8)</v>
      </c>
      <c r="AG53" s="10" t="s">
        <v>1355</v>
      </c>
      <c r="AH53" s="80" t="str">
        <f>'2010'!O51</f>
        <v>1298,8 (+342,8)</v>
      </c>
      <c r="AI53" s="79" t="str">
        <f>'2011'!O51</f>
        <v>1240,5 (+284,4)</v>
      </c>
      <c r="AJ53" s="59" t="str">
        <f>'2012'!O58</f>
        <v>1310,4 (+354,4)</v>
      </c>
      <c r="AK53" s="79" t="str">
        <f>'2013'!$O58</f>
        <v>1123,3 (+167,2)</v>
      </c>
      <c r="AL53" s="79" t="str">
        <f>'2014'!$O57</f>
        <v>1175,7 (+215,3)</v>
      </c>
      <c r="AM53" s="21" t="str">
        <f>'2010'!Q51</f>
        <v>1314,2 (+358,0)</v>
      </c>
      <c r="AN53" s="22" t="str">
        <f>'2011'!Q51</f>
        <v>1284,7 (+328,5)</v>
      </c>
      <c r="AO53" s="82" t="str">
        <f>'2012'!Q58</f>
        <v>1346,3 (+390,1)</v>
      </c>
      <c r="AP53" s="79" t="str">
        <f>'2013'!$Q58</f>
        <v>1189,5 (+233,2)</v>
      </c>
      <c r="AQ53" s="79">
        <f>'2014'!$Q57</f>
        <v>0</v>
      </c>
      <c r="AR53" s="21" t="str">
        <f>'2010'!S51</f>
        <v>1314,2 (+358,0)</v>
      </c>
      <c r="AS53" s="79" t="str">
        <f>'2011'!S51</f>
        <v>1286,3 (+330,1)</v>
      </c>
      <c r="AT53" s="82" t="str">
        <f>'2012'!S58</f>
        <v>1346,3 (+390,1)</v>
      </c>
      <c r="AU53" s="79" t="str">
        <f>'2013'!$S58</f>
        <v>1191,2 (+234,9)</v>
      </c>
      <c r="AV53" s="81">
        <f>'2014'!$S57</f>
        <v>0</v>
      </c>
      <c r="AW53" s="81">
        <f>'2015'!$S58</f>
        <v>0</v>
      </c>
    </row>
    <row r="54" spans="1:49" s="108" customFormat="1" ht="17.25" thickBot="1" x14ac:dyDescent="0.25">
      <c r="A54" s="107" t="s">
        <v>1453</v>
      </c>
      <c r="B54" s="42">
        <f>'2010'!B52</f>
        <v>0</v>
      </c>
      <c r="C54" s="43">
        <f>'2011'!B52</f>
        <v>0</v>
      </c>
      <c r="D54" s="43">
        <f>'2012'!B59</f>
        <v>3.407142857142857</v>
      </c>
      <c r="E54" s="43">
        <f>'2013'!B59</f>
        <v>0</v>
      </c>
      <c r="F54" s="41">
        <f>'2014'!$B58</f>
        <v>0</v>
      </c>
      <c r="G54" s="42">
        <f>'2010'!D52</f>
        <v>8.6642857142857146</v>
      </c>
      <c r="H54" s="43">
        <f>'2011'!D52</f>
        <v>2.6444444444444439</v>
      </c>
      <c r="I54" s="43">
        <f>'2012'!D59</f>
        <v>15.028571428571427</v>
      </c>
      <c r="J54" s="41">
        <f>'2013'!$D59</f>
        <v>7.8142857142857149</v>
      </c>
      <c r="K54" s="39">
        <f>'2014'!$D58</f>
        <v>0.25714285714285717</v>
      </c>
      <c r="L54" s="41">
        <f>'2010'!F52</f>
        <v>145.53571428571428</v>
      </c>
      <c r="M54" s="43">
        <f>'2011'!F52</f>
        <v>80.677777777777777</v>
      </c>
      <c r="N54" s="43">
        <f>'2012'!F59</f>
        <v>137.95714285714286</v>
      </c>
      <c r="O54" s="43">
        <f>'2013'!$F59</f>
        <v>118.72857142857143</v>
      </c>
      <c r="P54" s="43">
        <f>'2014'!$F58</f>
        <v>95.628571428571448</v>
      </c>
      <c r="Q54" s="107" t="s">
        <v>1162</v>
      </c>
      <c r="R54" s="41">
        <f>'2010'!H52</f>
        <v>345.2285714285714</v>
      </c>
      <c r="S54" s="41">
        <f>'2011'!H52</f>
        <v>293.38888888888891</v>
      </c>
      <c r="T54" s="41">
        <f>'2012'!H59</f>
        <v>371.66428571428571</v>
      </c>
      <c r="U54" s="41">
        <f>'2013'!$H59</f>
        <v>296.38571428571424</v>
      </c>
      <c r="V54" s="44">
        <f>'2014'!$H58</f>
        <v>331.80000000000007</v>
      </c>
      <c r="W54" s="41">
        <f>'2010'!J52</f>
        <v>688.25714285714287</v>
      </c>
      <c r="X54" s="41">
        <f>'2011'!J52</f>
        <v>626.00000000000011</v>
      </c>
      <c r="Y54" s="41">
        <f>'2012'!J59</f>
        <v>683.22142857142865</v>
      </c>
      <c r="Z54" s="41">
        <f>'2013'!$J59</f>
        <v>610.57857142857131</v>
      </c>
      <c r="AA54" s="41">
        <f>'2014'!$J58</f>
        <v>618.68571428571431</v>
      </c>
      <c r="AB54" s="41">
        <f>'2010'!L52</f>
        <v>960.71428571428567</v>
      </c>
      <c r="AC54" s="41">
        <f>'2011'!L52</f>
        <v>899.95000000000016</v>
      </c>
      <c r="AD54" s="41">
        <f>'2012'!L59</f>
        <v>982.94999999999982</v>
      </c>
      <c r="AE54" s="41">
        <f>'2013'!$L59</f>
        <v>866.86428571428576</v>
      </c>
      <c r="AF54" s="44">
        <f>'2014'!$L58</f>
        <v>884.21428571428555</v>
      </c>
      <c r="AG54" s="201" t="s">
        <v>1162</v>
      </c>
      <c r="AH54" s="42">
        <f>'2010'!N52</f>
        <v>1097.8428571428572</v>
      </c>
      <c r="AI54" s="43">
        <f>'2011'!N52</f>
        <v>1055.7444444444443</v>
      </c>
      <c r="AJ54" s="43">
        <f>'2012'!N59</f>
        <v>1105.7714285714287</v>
      </c>
      <c r="AK54" s="43">
        <f>'2013'!$N59</f>
        <v>970.62142857142851</v>
      </c>
      <c r="AL54" s="43">
        <f>'2014'!$N58</f>
        <v>1010.9142857142858</v>
      </c>
      <c r="AM54" s="42">
        <f>'2010'!P52</f>
        <v>1106.5714285714287</v>
      </c>
      <c r="AN54" s="43">
        <f>'2011'!P52</f>
        <v>1086.4444444444446</v>
      </c>
      <c r="AO54" s="43">
        <f>'2012'!P59</f>
        <v>1135.5285714285715</v>
      </c>
      <c r="AP54" s="43">
        <f>'2013'!$P59</f>
        <v>1011.5142857142857</v>
      </c>
      <c r="AQ54" s="43" t="e">
        <f>'2014'!$P58</f>
        <v>#DIV/0!</v>
      </c>
      <c r="AR54" s="42">
        <f>'2010'!R52</f>
        <v>1106.5714285714287</v>
      </c>
      <c r="AS54" s="43">
        <f>'2011'!R52</f>
        <v>1087.3666666666668</v>
      </c>
      <c r="AT54" s="43">
        <f>'2012'!R59</f>
        <v>1135.5285714285715</v>
      </c>
      <c r="AU54" s="43">
        <f>'2013'!$R59</f>
        <v>1012.85</v>
      </c>
      <c r="AV54" s="44" t="e">
        <f>'2014'!$R58</f>
        <v>#DIV/0!</v>
      </c>
      <c r="AW54" s="44" t="e">
        <f>'2015'!$R59</f>
        <v>#DIV/0!</v>
      </c>
    </row>
    <row r="55" spans="1:49" ht="16.5" x14ac:dyDescent="0.3">
      <c r="A55" s="24" t="s">
        <v>1143</v>
      </c>
      <c r="B55" s="28"/>
      <c r="C55" s="25"/>
      <c r="D55" s="25"/>
      <c r="E55" s="25"/>
      <c r="F55" s="25"/>
      <c r="G55" s="28"/>
      <c r="H55" s="25"/>
      <c r="I55" s="25"/>
      <c r="J55" s="25"/>
      <c r="K55" s="29"/>
      <c r="L55" s="25"/>
      <c r="M55" s="25"/>
      <c r="N55" s="25"/>
      <c r="O55" s="25"/>
      <c r="P55" s="25"/>
      <c r="Q55" s="24" t="s">
        <v>1143</v>
      </c>
      <c r="R55" s="25"/>
      <c r="S55" s="25"/>
      <c r="T55" s="25"/>
      <c r="U55" s="25"/>
      <c r="V55" s="25"/>
      <c r="W55" s="28"/>
      <c r="X55" s="25"/>
      <c r="Y55" s="232"/>
      <c r="Z55" s="25"/>
      <c r="AA55" s="25"/>
      <c r="AB55" s="28"/>
      <c r="AC55" s="25"/>
      <c r="AD55" s="222"/>
      <c r="AE55" s="25"/>
      <c r="AF55" s="29"/>
      <c r="AG55" s="238" t="s">
        <v>1143</v>
      </c>
      <c r="AH55" s="28"/>
      <c r="AI55" s="25"/>
      <c r="AJ55" s="60"/>
      <c r="AK55" s="25"/>
      <c r="AL55" s="25"/>
      <c r="AM55" s="28"/>
      <c r="AN55" s="25"/>
      <c r="AO55" s="60"/>
      <c r="AP55" s="25"/>
      <c r="AQ55" s="25"/>
      <c r="AR55" s="28"/>
      <c r="AS55" s="25"/>
      <c r="AT55" s="60"/>
      <c r="AU55" s="25"/>
      <c r="AV55" s="196"/>
      <c r="AW55" s="196"/>
    </row>
    <row r="56" spans="1:49" ht="15" x14ac:dyDescent="0.3">
      <c r="A56" s="27" t="s">
        <v>1144</v>
      </c>
      <c r="B56" s="21" t="s">
        <v>880</v>
      </c>
      <c r="C56" s="22" t="s">
        <v>880</v>
      </c>
      <c r="D56" s="22" t="s">
        <v>588</v>
      </c>
      <c r="E56" s="22" t="str">
        <f>'2013'!C61</f>
        <v>0,0 (0,0)</v>
      </c>
      <c r="F56" s="22" t="str">
        <f>'2014'!$C60</f>
        <v>0,0 (0,0)</v>
      </c>
      <c r="G56" s="21" t="s">
        <v>945</v>
      </c>
      <c r="H56" s="22" t="s">
        <v>759</v>
      </c>
      <c r="I56" s="22" t="s">
        <v>589</v>
      </c>
      <c r="J56" s="22" t="str">
        <f>'2013'!$E61</f>
        <v>26,9 (+26,9)</v>
      </c>
      <c r="K56" s="23" t="str">
        <f>'2014'!$E60</f>
        <v>10,9 (+10,9)</v>
      </c>
      <c r="L56" s="22" t="s">
        <v>994</v>
      </c>
      <c r="M56" s="22" t="s">
        <v>760</v>
      </c>
      <c r="N56" s="22" t="s">
        <v>590</v>
      </c>
      <c r="O56" s="22" t="str">
        <f>'2013'!$G61</f>
        <v>184,0 (+102,4)</v>
      </c>
      <c r="P56" s="22">
        <f>'2014'!$G60</f>
        <v>0</v>
      </c>
      <c r="Q56" s="27" t="s">
        <v>1144</v>
      </c>
      <c r="R56" s="22" t="s">
        <v>995</v>
      </c>
      <c r="S56" s="22" t="s">
        <v>761</v>
      </c>
      <c r="T56" s="56" t="s">
        <v>1180</v>
      </c>
      <c r="U56" s="22" t="str">
        <f>'2013'!$I61</f>
        <v>404,1 (+107,3)</v>
      </c>
      <c r="V56" s="22" t="str">
        <f>'2014'!$I60</f>
        <v>372,4 (+70,1)</v>
      </c>
      <c r="W56" s="21" t="s">
        <v>996</v>
      </c>
      <c r="X56" s="22" t="s">
        <v>762</v>
      </c>
      <c r="Y56" s="230" t="str">
        <f>'2012'!K61</f>
        <v>795.0 (+201.4)</v>
      </c>
      <c r="Z56" s="22" t="str">
        <f>'2013'!$K61</f>
        <v>764,6 (+171,0)</v>
      </c>
      <c r="AA56" s="22" t="str">
        <f>'2014'!$K60</f>
        <v>695,6 (+92,8)</v>
      </c>
      <c r="AB56" s="21" t="s">
        <v>997</v>
      </c>
      <c r="AC56" s="22" t="s">
        <v>763</v>
      </c>
      <c r="AD56" s="220" t="str">
        <f>'2012'!M61</f>
        <v>1142,3 (+295,1)</v>
      </c>
      <c r="AE56" s="22" t="str">
        <f>'2013'!$M61</f>
        <v>1053,2 (+206,0)</v>
      </c>
      <c r="AF56" s="23" t="str">
        <f>'2014'!$M60</f>
        <v>971,7 (+110,9)</v>
      </c>
      <c r="AG56" s="27" t="s">
        <v>1144</v>
      </c>
      <c r="AH56" s="21" t="s">
        <v>998</v>
      </c>
      <c r="AI56" s="22" t="s">
        <v>764</v>
      </c>
      <c r="AJ56" s="56" t="s">
        <v>1279</v>
      </c>
      <c r="AK56" s="22" t="str">
        <f>'2013'!$O61</f>
        <v>1195,0 (+248,9)</v>
      </c>
      <c r="AL56" s="22" t="str">
        <f>'2014'!$O60</f>
        <v>1142,1 (+176,5)</v>
      </c>
      <c r="AM56" s="21" t="s">
        <v>999</v>
      </c>
      <c r="AN56" s="22" t="s">
        <v>765</v>
      </c>
      <c r="AO56" s="59" t="str">
        <f>'2012'!Q61</f>
        <v>1369.2 (+422.4)</v>
      </c>
      <c r="AP56" s="22" t="str">
        <f>'2013'!$Q61</f>
        <v>1260,4 (+313,7)</v>
      </c>
      <c r="AQ56" s="22">
        <f>'2014'!$Q60</f>
        <v>0</v>
      </c>
      <c r="AR56" s="21" t="s">
        <v>999</v>
      </c>
      <c r="AS56" s="22" t="s">
        <v>766</v>
      </c>
      <c r="AT56" s="59" t="str">
        <f>'2012'!S61</f>
        <v>1372.1 (+425.3)</v>
      </c>
      <c r="AU56" s="22" t="str">
        <f>'2013'!$S61</f>
        <v>1266,8 (+320,1)</v>
      </c>
      <c r="AV56" s="23">
        <f>'2014'!$S60</f>
        <v>0</v>
      </c>
      <c r="AW56" s="23">
        <f>'2015'!$S61</f>
        <v>0</v>
      </c>
    </row>
    <row r="57" spans="1:49" ht="15" x14ac:dyDescent="0.3">
      <c r="A57" s="27" t="s">
        <v>1145</v>
      </c>
      <c r="B57" s="21" t="s">
        <v>880</v>
      </c>
      <c r="C57" s="22" t="s">
        <v>880</v>
      </c>
      <c r="D57" s="22" t="s">
        <v>591</v>
      </c>
      <c r="E57" s="22" t="str">
        <f>'2013'!C62</f>
        <v>0,0 (0,0)</v>
      </c>
      <c r="F57" s="22" t="str">
        <f>'2014'!$C61</f>
        <v>0,0 (0,0)</v>
      </c>
      <c r="G57" s="21" t="s">
        <v>1000</v>
      </c>
      <c r="H57" s="22" t="s">
        <v>767</v>
      </c>
      <c r="I57" s="22" t="s">
        <v>592</v>
      </c>
      <c r="J57" s="22" t="str">
        <f>'2013'!$E62</f>
        <v>17,5 (+17,5)</v>
      </c>
      <c r="K57" s="23" t="str">
        <f>'2014'!$E61</f>
        <v>7,1 (+7,1)</v>
      </c>
      <c r="L57" s="22" t="s">
        <v>1001</v>
      </c>
      <c r="M57" s="22" t="s">
        <v>768</v>
      </c>
      <c r="N57" s="22" t="s">
        <v>593</v>
      </c>
      <c r="O57" s="22" t="str">
        <f>'2013'!$G62</f>
        <v>134,5 (+65,9)</v>
      </c>
      <c r="P57" s="22" t="str">
        <f>'2014'!$G61</f>
        <v>87,2  (+13,5)</v>
      </c>
      <c r="Q57" s="27" t="s">
        <v>1145</v>
      </c>
      <c r="R57" s="22" t="s">
        <v>1002</v>
      </c>
      <c r="S57" s="22" t="s">
        <v>769</v>
      </c>
      <c r="T57" s="56" t="s">
        <v>1181</v>
      </c>
      <c r="U57" s="22" t="str">
        <f>'2013'!$I62</f>
        <v>314,5 (+47,4)</v>
      </c>
      <c r="V57" s="22" t="str">
        <f>'2014'!$I61</f>
        <v>285,9 (+6,4)</v>
      </c>
      <c r="W57" s="21" t="s">
        <v>1003</v>
      </c>
      <c r="X57" s="22" t="s">
        <v>770</v>
      </c>
      <c r="Y57" s="230" t="str">
        <f>'2012'!K62</f>
        <v>644.3 (+96.4)</v>
      </c>
      <c r="Z57" s="22" t="str">
        <f>'2013'!$K62</f>
        <v>621,7 (+73,8)</v>
      </c>
      <c r="AA57" s="22" t="str">
        <f>'2014'!$K61</f>
        <v>552,3 (-16,3)</v>
      </c>
      <c r="AB57" s="21" t="s">
        <v>1004</v>
      </c>
      <c r="AC57" s="22" t="s">
        <v>771</v>
      </c>
      <c r="AD57" s="220" t="str">
        <f>'2012'!M62</f>
        <v>930,2 (+144,0)</v>
      </c>
      <c r="AE57" s="22" t="str">
        <f>'2013'!$M62</f>
        <v>849,5 (+63,2)</v>
      </c>
      <c r="AF57" s="23" t="str">
        <f>'2014'!$M61</f>
        <v>825,5 (+11,1)</v>
      </c>
      <c r="AG57" s="27" t="s">
        <v>1145</v>
      </c>
      <c r="AH57" s="21" t="s">
        <v>1005</v>
      </c>
      <c r="AI57" s="22" t="s">
        <v>772</v>
      </c>
      <c r="AJ57" s="56" t="s">
        <v>1280</v>
      </c>
      <c r="AK57" s="22" t="str">
        <f>'2013'!$O62</f>
        <v>952,4 (+79,2)</v>
      </c>
      <c r="AL57" s="22" t="str">
        <f>'2014'!$O61</f>
        <v>990,5 (+79,3)</v>
      </c>
      <c r="AM57" s="21" t="s">
        <v>1006</v>
      </c>
      <c r="AN57" s="22" t="s">
        <v>773</v>
      </c>
      <c r="AO57" s="59" t="str">
        <f>'2012'!Q62</f>
        <v>1086.3 (+212.9)</v>
      </c>
      <c r="AP57" s="22" t="str">
        <f>'2013'!$Q62</f>
        <v>989,5 (+116,0)</v>
      </c>
      <c r="AQ57" s="22">
        <f>'2014'!$Q61</f>
        <v>0</v>
      </c>
      <c r="AR57" s="21" t="s">
        <v>1006</v>
      </c>
      <c r="AS57" s="22" t="s">
        <v>774</v>
      </c>
      <c r="AT57" s="59" t="str">
        <f>'2012'!S62</f>
        <v>1087.8 (+214.4)</v>
      </c>
      <c r="AU57" s="22" t="str">
        <f>'2013'!$S62</f>
        <v>995,4 (+121,9)</v>
      </c>
      <c r="AV57" s="23">
        <f>'2014'!$S61</f>
        <v>0</v>
      </c>
      <c r="AW57" s="23">
        <f>'2015'!$S62</f>
        <v>0</v>
      </c>
    </row>
    <row r="58" spans="1:49" ht="15" x14ac:dyDescent="0.3">
      <c r="A58" s="27" t="s">
        <v>1146</v>
      </c>
      <c r="B58" s="21" t="s">
        <v>880</v>
      </c>
      <c r="C58" s="22" t="s">
        <v>880</v>
      </c>
      <c r="D58" s="22" t="s">
        <v>594</v>
      </c>
      <c r="E58" s="22" t="str">
        <f>'2013'!C63</f>
        <v>0,0 (0,0)</v>
      </c>
      <c r="F58" s="22" t="str">
        <f>'2014'!$C62</f>
        <v>0,0 (0,0)</v>
      </c>
      <c r="G58" s="21" t="s">
        <v>1007</v>
      </c>
      <c r="H58" s="22" t="s">
        <v>775</v>
      </c>
      <c r="I58" s="22" t="s">
        <v>595</v>
      </c>
      <c r="J58" s="22" t="str">
        <f>'2013'!$E63</f>
        <v>28,9 (+28,5)</v>
      </c>
      <c r="K58" s="23" t="str">
        <f>'2014'!$E62</f>
        <v>17,4 (+17,0)</v>
      </c>
      <c r="L58" s="22" t="s">
        <v>1008</v>
      </c>
      <c r="M58" s="22" t="s">
        <v>776</v>
      </c>
      <c r="N58" s="22" t="s">
        <v>596</v>
      </c>
      <c r="O58" s="22" t="str">
        <f>'2013'!$G63</f>
        <v>200,4 (+108,9)</v>
      </c>
      <c r="P58" s="22" t="str">
        <f>'2014'!$G62</f>
        <v>139,9  (+54,1)</v>
      </c>
      <c r="Q58" s="27" t="s">
        <v>1146</v>
      </c>
      <c r="R58" s="22" t="s">
        <v>1009</v>
      </c>
      <c r="S58" s="22" t="s">
        <v>777</v>
      </c>
      <c r="T58" s="56" t="s">
        <v>1182</v>
      </c>
      <c r="U58" s="22" t="str">
        <f>'2013'!$I63</f>
        <v>423,5 (+106,2)</v>
      </c>
      <c r="V58" s="22" t="str">
        <f>'2014'!$I62</f>
        <v>389 (+83,3)</v>
      </c>
      <c r="W58" s="21" t="s">
        <v>1010</v>
      </c>
      <c r="X58" s="22" t="s">
        <v>778</v>
      </c>
      <c r="Y58" s="230" t="str">
        <f>'2012'!K63</f>
        <v>820.7 (+318.0)</v>
      </c>
      <c r="Z58" s="22" t="str">
        <f>'2013'!$K63</f>
        <v>778,6 (+151,8)</v>
      </c>
      <c r="AA58" s="22" t="str">
        <f>'2014'!$K62</f>
        <v>710,8 (+100,6)</v>
      </c>
      <c r="AB58" s="21" t="s">
        <v>1011</v>
      </c>
      <c r="AC58" s="22" t="s">
        <v>779</v>
      </c>
      <c r="AD58" s="220" t="str">
        <f>'2012'!M63</f>
        <v>1164,0 (+436,2)</v>
      </c>
      <c r="AE58" s="22" t="str">
        <f>'2013'!$M63</f>
        <v>1057,0 (+163,2)</v>
      </c>
      <c r="AF58" s="23" t="str">
        <f>'2014'!$M62</f>
        <v>987,6 (+114,9)</v>
      </c>
      <c r="AG58" s="27" t="s">
        <v>1146</v>
      </c>
      <c r="AH58" s="21" t="s">
        <v>1012</v>
      </c>
      <c r="AI58" s="22" t="s">
        <v>780</v>
      </c>
      <c r="AJ58" s="56" t="s">
        <v>1281</v>
      </c>
      <c r="AK58" s="22" t="str">
        <f>'2013'!$O63</f>
        <v>1198,8 (+190,1)</v>
      </c>
      <c r="AL58" s="22" t="str">
        <f>'2014'!$O62</f>
        <v>1159,9 (+174,8)</v>
      </c>
      <c r="AM58" s="21" t="s">
        <v>1013</v>
      </c>
      <c r="AN58" s="22" t="s">
        <v>781</v>
      </c>
      <c r="AO58" s="59" t="str">
        <f>'2012'!Q63</f>
        <v>1397.7 (+387.7)</v>
      </c>
      <c r="AP58" s="22" t="str">
        <f>'2013'!$Q63</f>
        <v>1262,4 (+252,4)</v>
      </c>
      <c r="AQ58" s="22">
        <f>'2014'!$Q62</f>
        <v>0</v>
      </c>
      <c r="AR58" s="21" t="s">
        <v>1014</v>
      </c>
      <c r="AS58" s="22" t="s">
        <v>782</v>
      </c>
      <c r="AT58" s="59" t="str">
        <f>'2012'!S63</f>
        <v>1405.0 (+395.0)</v>
      </c>
      <c r="AU58" s="22" t="str">
        <f>'2013'!$S63</f>
        <v>1268,6 (+258,6)</v>
      </c>
      <c r="AV58" s="23">
        <f>'2014'!$S62</f>
        <v>0</v>
      </c>
      <c r="AW58" s="23">
        <f>'2015'!$S63</f>
        <v>0</v>
      </c>
    </row>
    <row r="59" spans="1:49" ht="15" x14ac:dyDescent="0.3">
      <c r="A59" s="27" t="s">
        <v>1147</v>
      </c>
      <c r="B59" s="21" t="s">
        <v>880</v>
      </c>
      <c r="C59" s="22" t="s">
        <v>880</v>
      </c>
      <c r="D59" s="22" t="s">
        <v>597</v>
      </c>
      <c r="E59" s="22" t="str">
        <f>'2013'!C64</f>
        <v>0,0 (0,0)</v>
      </c>
      <c r="F59" s="22" t="str">
        <f>'2014'!$C63</f>
        <v>0,0 (0,0)</v>
      </c>
      <c r="G59" s="21" t="s">
        <v>1015</v>
      </c>
      <c r="H59" s="22" t="s">
        <v>783</v>
      </c>
      <c r="I59" s="22" t="s">
        <v>598</v>
      </c>
      <c r="J59" s="22" t="str">
        <f>'2013'!$E64</f>
        <v>26,8 (+25,2)</v>
      </c>
      <c r="K59" s="23" t="str">
        <f>'2014'!$E63</f>
        <v>9,3 (+7,8)</v>
      </c>
      <c r="L59" s="22" t="s">
        <v>1016</v>
      </c>
      <c r="M59" s="22" t="s">
        <v>784</v>
      </c>
      <c r="N59" s="22" t="s">
        <v>599</v>
      </c>
      <c r="O59" s="22" t="str">
        <f>'2013'!$G64</f>
        <v>215,0 (+104,9)</v>
      </c>
      <c r="P59" s="22" t="str">
        <f>'2014'!$G63</f>
        <v>147,3  (+38,8)</v>
      </c>
      <c r="Q59" s="27" t="s">
        <v>1147</v>
      </c>
      <c r="R59" s="22" t="s">
        <v>1017</v>
      </c>
      <c r="S59" s="22" t="s">
        <v>785</v>
      </c>
      <c r="T59" s="56" t="s">
        <v>1183</v>
      </c>
      <c r="U59" s="22" t="str">
        <f>'2013'!$I64</f>
        <v>461,8 (+103,4)</v>
      </c>
      <c r="V59" s="22" t="str">
        <f>'2014'!$I63</f>
        <v>438,9 (+83,4)</v>
      </c>
      <c r="W59" s="21" t="s">
        <v>1018</v>
      </c>
      <c r="X59" s="22" t="s">
        <v>786</v>
      </c>
      <c r="Y59" s="230" t="str">
        <f>'2012'!K64</f>
        <v>914.6 (+224.9)</v>
      </c>
      <c r="Z59" s="22" t="str">
        <f>'2013'!$K64</f>
        <v>832,6 (+142,9)</v>
      </c>
      <c r="AA59" s="22" t="str">
        <f>'2014'!$K63</f>
        <v>783,3 (+96,8)</v>
      </c>
      <c r="AB59" s="21" t="s">
        <v>1019</v>
      </c>
      <c r="AC59" s="22" t="s">
        <v>787</v>
      </c>
      <c r="AD59" s="220" t="str">
        <f>'2012'!M64</f>
        <v>1279,6 (+301,5)</v>
      </c>
      <c r="AE59" s="22" t="str">
        <f>'2013'!$M64</f>
        <v>1133,1 (+155,0)</v>
      </c>
      <c r="AF59" s="23" t="str">
        <f>'2014'!$M63</f>
        <v>1093,3 (+118,3)</v>
      </c>
      <c r="AG59" s="27" t="s">
        <v>1147</v>
      </c>
      <c r="AH59" s="21" t="s">
        <v>1020</v>
      </c>
      <c r="AI59" s="22" t="s">
        <v>788</v>
      </c>
      <c r="AJ59" s="56" t="s">
        <v>1282</v>
      </c>
      <c r="AK59" s="22" t="str">
        <f>'2013'!$O64</f>
        <v>1297,2 (+188,4)</v>
      </c>
      <c r="AL59" s="22" t="str">
        <f>'2014'!$O63</f>
        <v>1278,3 (+171,9)</v>
      </c>
      <c r="AM59" s="21" t="s">
        <v>1021</v>
      </c>
      <c r="AN59" s="22" t="s">
        <v>789</v>
      </c>
      <c r="AO59" s="59" t="str">
        <f>'2012'!Q64</f>
        <v>1529.9 (+418.0)</v>
      </c>
      <c r="AP59" s="22" t="str">
        <f>'2013'!$Q64</f>
        <v>1371,7 (+259,8)</v>
      </c>
      <c r="AQ59" s="22">
        <f>'2014'!$Q63</f>
        <v>0</v>
      </c>
      <c r="AR59" s="21" t="s">
        <v>1022</v>
      </c>
      <c r="AS59" s="22" t="s">
        <v>790</v>
      </c>
      <c r="AT59" s="59" t="str">
        <f>'2012'!S64</f>
        <v>1529.9 (+418.0)</v>
      </c>
      <c r="AU59" s="22" t="str">
        <f>'2013'!$S64</f>
        <v>1377,1 (+265,3)</v>
      </c>
      <c r="AV59" s="23">
        <f>'2014'!$S63</f>
        <v>0</v>
      </c>
      <c r="AW59" s="23">
        <f>'2015'!$S64</f>
        <v>0</v>
      </c>
    </row>
    <row r="60" spans="1:49" ht="15" x14ac:dyDescent="0.3">
      <c r="A60" s="27" t="s">
        <v>1148</v>
      </c>
      <c r="B60" s="21" t="s">
        <v>880</v>
      </c>
      <c r="C60" s="22" t="s">
        <v>880</v>
      </c>
      <c r="D60" s="22" t="s">
        <v>600</v>
      </c>
      <c r="E60" s="22" t="str">
        <f>'2013'!C65</f>
        <v>0,0 (0,0)</v>
      </c>
      <c r="F60" s="22" t="str">
        <f>'2014'!$C64</f>
        <v>0,0 (0,0)</v>
      </c>
      <c r="G60" s="21" t="s">
        <v>1023</v>
      </c>
      <c r="H60" s="22" t="s">
        <v>791</v>
      </c>
      <c r="I60" s="22" t="s">
        <v>601</v>
      </c>
      <c r="J60" s="22" t="str">
        <f>'2013'!$E65</f>
        <v>23,8 (+22,3)</v>
      </c>
      <c r="K60" s="23" t="str">
        <f>'2014'!$E64</f>
        <v>8,5 (+7,1)</v>
      </c>
      <c r="L60" s="22" t="s">
        <v>1024</v>
      </c>
      <c r="M60" s="22" t="s">
        <v>792</v>
      </c>
      <c r="N60" s="22" t="s">
        <v>602</v>
      </c>
      <c r="O60" s="22" t="str">
        <f>'2013'!$G65</f>
        <v>199,1 (+89,9)</v>
      </c>
      <c r="P60" s="22" t="str">
        <f>'2014'!$G64</f>
        <v>142,6  (+33,6)</v>
      </c>
      <c r="Q60" s="27" t="s">
        <v>1148</v>
      </c>
      <c r="R60" s="22" t="s">
        <v>1025</v>
      </c>
      <c r="S60" s="22" t="s">
        <v>793</v>
      </c>
      <c r="T60" s="56" t="s">
        <v>1184</v>
      </c>
      <c r="U60" s="22" t="str">
        <f>'2013'!$I65</f>
        <v>440,7 (+84,3)</v>
      </c>
      <c r="V60" s="22" t="str">
        <f>'2014'!$I64</f>
        <v>415,7 (+59,1)</v>
      </c>
      <c r="W60" s="21" t="s">
        <v>1026</v>
      </c>
      <c r="X60" s="22" t="s">
        <v>794</v>
      </c>
      <c r="Y60" s="230" t="str">
        <f>'2012'!K65</f>
        <v>877.7 (+193.5)</v>
      </c>
      <c r="Z60" s="22" t="str">
        <f>'2013'!$K65</f>
        <v>806,5 (+122,2)</v>
      </c>
      <c r="AA60" s="22" t="str">
        <f>'2014'!$K64</f>
        <v>740 (+54,8)</v>
      </c>
      <c r="AB60" s="21" t="s">
        <v>1027</v>
      </c>
      <c r="AC60" s="22" t="s">
        <v>795</v>
      </c>
      <c r="AD60" s="220" t="str">
        <f>'2012'!M65</f>
        <v>1238,7 (+270,5)</v>
      </c>
      <c r="AE60" s="22" t="str">
        <f>'2013'!$M65</f>
        <v>1098,8 (+130,6)</v>
      </c>
      <c r="AF60" s="23" t="str">
        <f>'2014'!$M64</f>
        <v>1028,9 (+58,4)</v>
      </c>
      <c r="AG60" s="27" t="s">
        <v>1148</v>
      </c>
      <c r="AH60" s="21" t="s">
        <v>1028</v>
      </c>
      <c r="AI60" s="22" t="s">
        <v>796</v>
      </c>
      <c r="AJ60" s="56" t="s">
        <v>1283</v>
      </c>
      <c r="AK60" s="22" t="str">
        <f>'2013'!$O65</f>
        <v>1250,4 (+157,7)</v>
      </c>
      <c r="AL60" s="22" t="str">
        <f>'2014'!$O64</f>
        <v>1201,6 (+104,2)</v>
      </c>
      <c r="AM60" s="21" t="s">
        <v>1029</v>
      </c>
      <c r="AN60" s="22" t="s">
        <v>797</v>
      </c>
      <c r="AO60" s="59" t="str">
        <f>'2012'!Q65</f>
        <v>1470.5 (+375.5)</v>
      </c>
      <c r="AP60" s="22" t="str">
        <f>'2013'!$Q65</f>
        <v>1315,3 (+220,3)</v>
      </c>
      <c r="AQ60" s="22">
        <f>'2014'!$Q64</f>
        <v>0</v>
      </c>
      <c r="AR60" s="21" t="s">
        <v>1029</v>
      </c>
      <c r="AS60" s="22" t="s">
        <v>798</v>
      </c>
      <c r="AT60" s="59" t="str">
        <f>'2012'!S65</f>
        <v>1470.5 (+375.5)</v>
      </c>
      <c r="AU60" s="22" t="str">
        <f>'2013'!$S65</f>
        <v>1320,1 (+225,1)</v>
      </c>
      <c r="AV60" s="23">
        <f>'2014'!$S64</f>
        <v>0</v>
      </c>
      <c r="AW60" s="23">
        <f>'2015'!$S65</f>
        <v>0</v>
      </c>
    </row>
    <row r="61" spans="1:49" ht="15" x14ac:dyDescent="0.3">
      <c r="A61" s="27" t="s">
        <v>1149</v>
      </c>
      <c r="B61" s="21" t="s">
        <v>880</v>
      </c>
      <c r="C61" s="22" t="s">
        <v>880</v>
      </c>
      <c r="D61" s="22" t="s">
        <v>603</v>
      </c>
      <c r="E61" s="22" t="str">
        <f>'2013'!C66</f>
        <v>0,0 (0,0)</v>
      </c>
      <c r="F61" s="22" t="str">
        <f>'2014'!$C65</f>
        <v>0,0 (0,0)</v>
      </c>
      <c r="G61" s="21" t="s">
        <v>1030</v>
      </c>
      <c r="H61" s="22" t="s">
        <v>799</v>
      </c>
      <c r="I61" s="22" t="s">
        <v>604</v>
      </c>
      <c r="J61" s="22" t="str">
        <f>'2013'!$E66</f>
        <v>23,0 (+21,6)</v>
      </c>
      <c r="K61" s="23" t="str">
        <f>'2014'!$E65</f>
        <v>4,8 (+3,5)</v>
      </c>
      <c r="L61" s="22" t="s">
        <v>1031</v>
      </c>
      <c r="M61" s="22" t="s">
        <v>800</v>
      </c>
      <c r="N61" s="22" t="s">
        <v>605</v>
      </c>
      <c r="O61" s="22" t="str">
        <f>'2013'!$G66</f>
        <v>189,6 (+79,4)</v>
      </c>
      <c r="P61" s="22" t="str">
        <f>'2014'!$G65</f>
        <v>144,5  (+36,7)</v>
      </c>
      <c r="Q61" s="27" t="s">
        <v>1149</v>
      </c>
      <c r="R61" s="22" t="s">
        <v>1032</v>
      </c>
      <c r="S61" s="22" t="s">
        <v>801</v>
      </c>
      <c r="T61" s="56" t="s">
        <v>1185</v>
      </c>
      <c r="U61" s="22" t="str">
        <f>'2013'!$I66</f>
        <v>427,8 (+67,3)</v>
      </c>
      <c r="V61" s="22" t="str">
        <f>'2014'!$I65</f>
        <v>430,2 (+73,9)</v>
      </c>
      <c r="W61" s="21" t="s">
        <v>1033</v>
      </c>
      <c r="X61" s="22" t="s">
        <v>802</v>
      </c>
      <c r="Y61" s="230" t="str">
        <f>'2012'!K66</f>
        <v>894.8 (+199.1)</v>
      </c>
      <c r="Z61" s="22" t="str">
        <f>'2013'!$K66</f>
        <v>808,4 (+112,7)</v>
      </c>
      <c r="AA61" s="22" t="str">
        <f>'2014'!$K65</f>
        <v>757,1 (+67,7)</v>
      </c>
      <c r="AB61" s="21" t="s">
        <v>1034</v>
      </c>
      <c r="AC61" s="22" t="s">
        <v>803</v>
      </c>
      <c r="AD61" s="220" t="str">
        <f>'2012'!M66</f>
        <v>1260,3 (+273,5)</v>
      </c>
      <c r="AE61" s="22" t="str">
        <f>'2013'!$M66</f>
        <v>1122,0 (+135,1)</v>
      </c>
      <c r="AF61" s="23" t="str">
        <f>'2014'!$M65</f>
        <v>1061,2 (+81,7)</v>
      </c>
      <c r="AG61" s="27" t="s">
        <v>1149</v>
      </c>
      <c r="AH61" s="21" t="s">
        <v>1035</v>
      </c>
      <c r="AI61" s="22" t="s">
        <v>804</v>
      </c>
      <c r="AJ61" s="56" t="s">
        <v>1284</v>
      </c>
      <c r="AK61" s="22" t="str">
        <f>'2013'!$O66</f>
        <v>1276,1 (+162,6)</v>
      </c>
      <c r="AL61" s="22" t="str">
        <f>'2014'!$O65</f>
        <v>1233,1 (+126,2)</v>
      </c>
      <c r="AM61" s="21" t="s">
        <v>1036</v>
      </c>
      <c r="AN61" s="22" t="s">
        <v>805</v>
      </c>
      <c r="AO61" s="59" t="str">
        <f>'2012'!Q66</f>
        <v>1491.5 (+375.9)</v>
      </c>
      <c r="AP61" s="22" t="str">
        <f>'2013'!$Q66</f>
        <v>1344,7 (+229,0)</v>
      </c>
      <c r="AQ61" s="22">
        <f>'2014'!$Q65</f>
        <v>0</v>
      </c>
      <c r="AR61" s="21" t="s">
        <v>1036</v>
      </c>
      <c r="AS61" s="22" t="s">
        <v>806</v>
      </c>
      <c r="AT61" s="59" t="str">
        <f>'2012'!S66</f>
        <v>1491.5 (+375.9)</v>
      </c>
      <c r="AU61" s="22" t="str">
        <f>'2013'!$S66</f>
        <v>1348,9 (+233,2)</v>
      </c>
      <c r="AV61" s="23">
        <f>'2014'!$S65</f>
        <v>0</v>
      </c>
      <c r="AW61" s="23">
        <f>'2015'!$S66</f>
        <v>0</v>
      </c>
    </row>
    <row r="62" spans="1:49" ht="17.25" thickBot="1" x14ac:dyDescent="0.35">
      <c r="A62" s="32" t="s">
        <v>1454</v>
      </c>
      <c r="B62" s="33">
        <v>0</v>
      </c>
      <c r="C62" s="34">
        <v>0</v>
      </c>
      <c r="D62" s="43">
        <f>(18.6+16.7+37.4+33.1+23.9+16.9)/6</f>
        <v>24.433333333333334</v>
      </c>
      <c r="E62" s="43">
        <f>'2013'!B67</f>
        <v>0</v>
      </c>
      <c r="F62" s="43">
        <f>'2014'!$B66</f>
        <v>0</v>
      </c>
      <c r="G62" s="42">
        <f>(24+19.8+36.2+33+27.7+33)/6</f>
        <v>28.95</v>
      </c>
      <c r="H62" s="34">
        <f>(22+19.2+29.6+18.7+13.4+13.5)/6</f>
        <v>19.400000000000002</v>
      </c>
      <c r="I62" s="34">
        <f>(38.3+31.8+59.9+55.7+43.8+35.7)/6</f>
        <v>44.199999999999996</v>
      </c>
      <c r="J62" s="43">
        <f>'2013'!$D67</f>
        <v>24.483333333333331</v>
      </c>
      <c r="K62" s="44">
        <f>'2014'!$D66</f>
        <v>9.6666666666666661</v>
      </c>
      <c r="L62" s="43">
        <f>(179.9+137.2+197.5+227.5+211.6+222)/6</f>
        <v>195.95000000000002</v>
      </c>
      <c r="M62" s="43">
        <f>(159.4+136.4+179.5+159.5+138.9+134.4)/6</f>
        <v>151.35</v>
      </c>
      <c r="N62" s="43">
        <f>(204.7+159.9+229.2+247.8+227.8+217.7)/6</f>
        <v>214.51666666666665</v>
      </c>
      <c r="O62" s="43">
        <f>'2013'!$F67</f>
        <v>187.1</v>
      </c>
      <c r="P62" s="43">
        <f>'2014'!$F66</f>
        <v>132.30000000000001</v>
      </c>
      <c r="Q62" s="32" t="s">
        <v>1162</v>
      </c>
      <c r="R62" s="43">
        <f>(397.3+315.9+416.6+479.7+456.3+469)/6</f>
        <v>422.4666666666667</v>
      </c>
      <c r="S62" s="43">
        <f>(396.7+328.4+418.8+447.9+413.9+414.4)/6</f>
        <v>403.34999999999997</v>
      </c>
      <c r="T62" s="43">
        <f>(463.9+365.8+486.9+547.9+516.7+514.2)/6</f>
        <v>482.56666666666661</v>
      </c>
      <c r="U62" s="43">
        <f>'2013'!$H67</f>
        <v>412.06666666666666</v>
      </c>
      <c r="V62" s="43">
        <f>'2014'!$H66</f>
        <v>388.68333333333334</v>
      </c>
      <c r="W62" s="42">
        <f>(774.2+641.7+791.9+874.2+838.2+868.5)/6</f>
        <v>798.11666666666667</v>
      </c>
      <c r="X62" s="43">
        <f>(748.4+627.1+773.2+835.8+791.5+812.9)/6</f>
        <v>764.81666666666661</v>
      </c>
      <c r="Y62" s="233">
        <f>'2012'!J67</f>
        <v>824.2166666666667</v>
      </c>
      <c r="Z62" s="43">
        <f>'2013'!$J67</f>
        <v>768.73333333333323</v>
      </c>
      <c r="AA62" s="43">
        <f>'2014'!$J66</f>
        <v>706.51666666666677</v>
      </c>
      <c r="AB62" s="42">
        <f>(1078.4+893.9+1100.4+1193.9+1144.5+1197.6)/6</f>
        <v>1101.45</v>
      </c>
      <c r="AC62" s="43">
        <f>(1050.5+884+1081.1+1156.8+1112.5+1153.2)/6</f>
        <v>1073.0166666666667</v>
      </c>
      <c r="AD62" s="223">
        <f>'2012'!L67</f>
        <v>1216.98</v>
      </c>
      <c r="AE62" s="43">
        <f>'2013'!$L67</f>
        <v>1052.2666666666667</v>
      </c>
      <c r="AF62" s="43">
        <f>'2014'!$L66</f>
        <v>994.69999999999993</v>
      </c>
      <c r="AG62" s="32" t="s">
        <v>1162</v>
      </c>
      <c r="AH62" s="42">
        <v>1280.5</v>
      </c>
      <c r="AI62" s="43">
        <f>(1253.3+1045.7+1291.5+1381.4+1323.9+13.739)/6</f>
        <v>1051.5898333333332</v>
      </c>
      <c r="AJ62" s="61">
        <v>1331.5833333333335</v>
      </c>
      <c r="AK62" s="43">
        <f>'2013'!$N67</f>
        <v>1194.9833333333333</v>
      </c>
      <c r="AL62" s="43">
        <f>'2014'!$N66</f>
        <v>1167.5833333333333</v>
      </c>
      <c r="AM62" s="42">
        <f>(1281.1+1051.7+1314.5+1417.1+1354.2+1400.9)/6</f>
        <v>1303.25</v>
      </c>
      <c r="AN62" s="43">
        <f>(1305.3+1080.2+1343.6+1442.1+1379.5+1424.2)/6</f>
        <v>1329.1499999999999</v>
      </c>
      <c r="AO62" s="64">
        <f>'2012'!P67</f>
        <v>1390.8500000000001</v>
      </c>
      <c r="AP62" s="43">
        <f>'2013'!$P67</f>
        <v>1257.3333333333333</v>
      </c>
      <c r="AQ62" s="43" t="e">
        <f>'2014'!$P66</f>
        <v>#DIV/0!</v>
      </c>
      <c r="AR62" s="42">
        <f>(1281.1+1051.7+1315+1417.2+1354.2+1400.9)/6</f>
        <v>1303.3500000000001</v>
      </c>
      <c r="AS62" s="43">
        <f>(1314.4+1085+1353+1450+1385.2+1426.3)/6</f>
        <v>1335.6499999999999</v>
      </c>
      <c r="AT62" s="64">
        <f>'2012'!R67</f>
        <v>1392.8</v>
      </c>
      <c r="AU62" s="43">
        <f>'2013'!$R67</f>
        <v>1262.8166666666666</v>
      </c>
      <c r="AV62" s="44" t="e">
        <f>'2014'!$R66</f>
        <v>#DIV/0!</v>
      </c>
      <c r="AW62" s="44" t="e">
        <f>'2015'!$R67</f>
        <v>#DIV/0!</v>
      </c>
    </row>
    <row r="63" spans="1:49" ht="16.5" x14ac:dyDescent="0.3">
      <c r="A63" s="26" t="s">
        <v>1150</v>
      </c>
      <c r="B63" s="18"/>
      <c r="C63" s="19"/>
      <c r="D63" s="19"/>
      <c r="E63" s="19"/>
      <c r="F63" s="19"/>
      <c r="G63" s="18"/>
      <c r="H63" s="19"/>
      <c r="I63" s="19"/>
      <c r="J63" s="19"/>
      <c r="K63" s="20"/>
      <c r="L63" s="19"/>
      <c r="M63" s="19"/>
      <c r="N63" s="19"/>
      <c r="O63" s="19"/>
      <c r="P63" s="19"/>
      <c r="Q63" s="26" t="s">
        <v>1150</v>
      </c>
      <c r="R63" s="19"/>
      <c r="S63" s="19"/>
      <c r="T63" s="19"/>
      <c r="U63" s="19"/>
      <c r="V63" s="19"/>
      <c r="W63" s="18"/>
      <c r="X63" s="19"/>
      <c r="Y63" s="230"/>
      <c r="Z63" s="19"/>
      <c r="AA63" s="19"/>
      <c r="AB63" s="18"/>
      <c r="AC63" s="19"/>
      <c r="AD63" s="220"/>
      <c r="AE63" s="25"/>
      <c r="AF63" s="20"/>
      <c r="AG63" s="239" t="s">
        <v>1150</v>
      </c>
      <c r="AH63" s="18"/>
      <c r="AI63" s="19"/>
      <c r="AJ63" s="59"/>
      <c r="AK63" s="19"/>
      <c r="AL63" s="19"/>
      <c r="AM63" s="18"/>
      <c r="AN63" s="19"/>
      <c r="AO63" s="59"/>
      <c r="AP63" s="19"/>
      <c r="AQ63" s="19"/>
      <c r="AR63" s="28"/>
      <c r="AS63" s="25"/>
      <c r="AT63" s="60"/>
      <c r="AU63" s="25"/>
      <c r="AV63" s="199"/>
      <c r="AW63" s="199"/>
    </row>
    <row r="64" spans="1:49" ht="15" x14ac:dyDescent="0.3">
      <c r="A64" s="27" t="s">
        <v>1151</v>
      </c>
      <c r="B64" s="21" t="s">
        <v>880</v>
      </c>
      <c r="C64" s="22" t="s">
        <v>880</v>
      </c>
      <c r="D64" s="22" t="s">
        <v>606</v>
      </c>
      <c r="E64" s="22" t="str">
        <f>'2013'!C69</f>
        <v>0,0 (0,0)</v>
      </c>
      <c r="F64" s="22" t="str">
        <f>'2014'!$C68</f>
        <v>0,0 (0,0)</v>
      </c>
      <c r="G64" s="21" t="s">
        <v>1037</v>
      </c>
      <c r="H64" s="22" t="s">
        <v>807</v>
      </c>
      <c r="I64" s="22" t="s">
        <v>607</v>
      </c>
      <c r="J64" s="22" t="str">
        <f>'2013'!$E69</f>
        <v>20,2 (+18,9)</v>
      </c>
      <c r="K64" s="23" t="str">
        <f>'2014'!$E68</f>
        <v>4,0 (+2,6)</v>
      </c>
      <c r="L64" s="22" t="s">
        <v>1038</v>
      </c>
      <c r="M64" s="22" t="s">
        <v>808</v>
      </c>
      <c r="N64" s="22" t="s">
        <v>608</v>
      </c>
      <c r="O64" s="22" t="str">
        <f>'2013'!$G69</f>
        <v>186,5 (+81,6)</v>
      </c>
      <c r="P64" s="22" t="str">
        <f>'2014'!$G68</f>
        <v>129,7  (+26,4)</v>
      </c>
      <c r="Q64" s="27" t="s">
        <v>1151</v>
      </c>
      <c r="R64" s="22" t="s">
        <v>1039</v>
      </c>
      <c r="S64" s="22" t="s">
        <v>809</v>
      </c>
      <c r="T64" s="56" t="s">
        <v>1186</v>
      </c>
      <c r="U64" s="22" t="str">
        <f>'2013'!$I69</f>
        <v>416,8 (+69,3)</v>
      </c>
      <c r="V64" s="22" t="str">
        <f>'2014'!$I68</f>
        <v>409,3 (+64,7)</v>
      </c>
      <c r="W64" s="21" t="s">
        <v>1040</v>
      </c>
      <c r="X64" s="22" t="s">
        <v>810</v>
      </c>
      <c r="Y64" s="230" t="str">
        <f>'2012'!K69</f>
        <v>846.4 (+169.8)</v>
      </c>
      <c r="Z64" s="22" t="str">
        <f>'2013'!$K69</f>
        <v>767,4 (+90,9)</v>
      </c>
      <c r="AA64" s="22" t="str">
        <f>'2014'!$K68</f>
        <v>720,5 (+47,7)</v>
      </c>
      <c r="AB64" s="21" t="s">
        <v>1041</v>
      </c>
      <c r="AC64" s="22" t="s">
        <v>811</v>
      </c>
      <c r="AD64" s="220" t="str">
        <f>'2012'!M69</f>
        <v>1194,2 (+231,5)</v>
      </c>
      <c r="AE64" s="22" t="str">
        <f>'2013'!$M69</f>
        <v>1054,0 (+91,3)</v>
      </c>
      <c r="AF64" s="22" t="str">
        <f>'2014'!$M68</f>
        <v>1007,9 (+47,1)</v>
      </c>
      <c r="AG64" s="27" t="s">
        <v>1151</v>
      </c>
      <c r="AH64" s="21" t="s">
        <v>1042</v>
      </c>
      <c r="AI64" s="22" t="s">
        <v>812</v>
      </c>
      <c r="AJ64" s="56" t="s">
        <v>1285</v>
      </c>
      <c r="AK64" s="22" t="str">
        <f>'2013'!$O69</f>
        <v>1185,3 (+95,0)</v>
      </c>
      <c r="AL64" s="22" t="str">
        <f>'2014'!$O68</f>
        <v>1180,6 (+90,5)</v>
      </c>
      <c r="AM64" s="21" t="s">
        <v>1043</v>
      </c>
      <c r="AN64" s="22" t="s">
        <v>813</v>
      </c>
      <c r="AO64" s="59" t="str">
        <f>'2012'!Q69</f>
        <v>1414.3 (+321.7)</v>
      </c>
      <c r="AP64" s="22" t="str">
        <f>'2013'!$Q69</f>
        <v>1252,7 (+160,2)</v>
      </c>
      <c r="AQ64" s="22">
        <f>'2014'!$Q68</f>
        <v>0</v>
      </c>
      <c r="AR64" s="21" t="s">
        <v>1043</v>
      </c>
      <c r="AS64" s="22" t="s">
        <v>814</v>
      </c>
      <c r="AT64" s="59" t="str">
        <f>'2012'!S69</f>
        <v>1414.3 (+321.7)</v>
      </c>
      <c r="AU64" s="22" t="str">
        <f>'2013'!$S69</f>
        <v>1256,6 (+164,0)</v>
      </c>
      <c r="AV64" s="23">
        <f>'2014'!$S68</f>
        <v>0</v>
      </c>
      <c r="AW64" s="23">
        <f>'2015'!$S69</f>
        <v>0</v>
      </c>
    </row>
    <row r="65" spans="1:49" ht="15" x14ac:dyDescent="0.3">
      <c r="A65" s="27" t="s">
        <v>1152</v>
      </c>
      <c r="B65" s="21" t="s">
        <v>880</v>
      </c>
      <c r="C65" s="22" t="s">
        <v>880</v>
      </c>
      <c r="D65" s="22" t="s">
        <v>609</v>
      </c>
      <c r="E65" s="22" t="str">
        <f>'2013'!C70</f>
        <v>0,0 (0,0)</v>
      </c>
      <c r="F65" s="22" t="str">
        <f>'2014'!$C69</f>
        <v>0,0 (0,0)</v>
      </c>
      <c r="G65" s="21" t="s">
        <v>1044</v>
      </c>
      <c r="H65" s="22" t="s">
        <v>815</v>
      </c>
      <c r="I65" s="22" t="s">
        <v>610</v>
      </c>
      <c r="J65" s="22" t="str">
        <f>'2013'!$E70</f>
        <v>22,4 (+20,5)</v>
      </c>
      <c r="K65" s="23" t="str">
        <f>'2014'!$E69</f>
        <v>11,2 (+9,3)</v>
      </c>
      <c r="L65" s="22" t="s">
        <v>1045</v>
      </c>
      <c r="M65" s="22" t="s">
        <v>816</v>
      </c>
      <c r="N65" s="22" t="s">
        <v>611</v>
      </c>
      <c r="O65" s="22" t="str">
        <f>'2013'!$G70</f>
        <v>183,6 (+73,2)</v>
      </c>
      <c r="P65" s="22" t="str">
        <f>'2014'!$G69</f>
        <v>137,6  (+31,4)</v>
      </c>
      <c r="Q65" s="27" t="s">
        <v>1152</v>
      </c>
      <c r="R65" s="22" t="s">
        <v>1046</v>
      </c>
      <c r="S65" s="22" t="s">
        <v>817</v>
      </c>
      <c r="T65" s="56" t="s">
        <v>1187</v>
      </c>
      <c r="U65" s="22" t="str">
        <f>'2013'!$I70</f>
        <v>404,3 (+45,0)</v>
      </c>
      <c r="V65" s="22" t="str">
        <f>'2014'!$I69</f>
        <v>396 (+44,7)</v>
      </c>
      <c r="W65" s="21" t="s">
        <v>1047</v>
      </c>
      <c r="X65" s="22" t="s">
        <v>818</v>
      </c>
      <c r="Y65" s="230" t="str">
        <f>'2012'!K70</f>
        <v>810.5 (+114.5)</v>
      </c>
      <c r="Z65" s="22" t="str">
        <f>'2013'!$K70</f>
        <v>754,9 (+58,8)</v>
      </c>
      <c r="AA65" s="22" t="str">
        <f>'2014'!$K69</f>
        <v>709,2 (+24,5)</v>
      </c>
      <c r="AB65" s="21" t="s">
        <v>1048</v>
      </c>
      <c r="AC65" s="22" t="s">
        <v>819</v>
      </c>
      <c r="AD65" s="220" t="str">
        <f>'2012'!M70</f>
        <v>1158,1 (+170,0)</v>
      </c>
      <c r="AE65" s="22" t="str">
        <f>'2013'!$M70</f>
        <v>1042,8 (+54,7)</v>
      </c>
      <c r="AF65" s="22" t="str">
        <f>'2014'!$M69</f>
        <v>995,4 (+22,2)</v>
      </c>
      <c r="AG65" s="27" t="s">
        <v>1152</v>
      </c>
      <c r="AH65" s="21" t="s">
        <v>1049</v>
      </c>
      <c r="AI65" s="22" t="s">
        <v>820</v>
      </c>
      <c r="AJ65" s="56" t="s">
        <v>1286</v>
      </c>
      <c r="AK65" s="22" t="str">
        <f>'2013'!$O70</f>
        <v>1185,1 (+60,8)</v>
      </c>
      <c r="AL65" s="22" t="str">
        <f>'2014'!$O69</f>
        <v>1171,9 (+64,3)</v>
      </c>
      <c r="AM65" s="21" t="s">
        <v>1050</v>
      </c>
      <c r="AN65" s="22" t="s">
        <v>821</v>
      </c>
      <c r="AO65" s="59" t="str">
        <f>'2012'!Q70</f>
        <v>1370.9 (+243.0)</v>
      </c>
      <c r="AP65" s="22" t="str">
        <f>'2013'!$Q70</f>
        <v>1246,8 (+118,8)</v>
      </c>
      <c r="AQ65" s="22">
        <f>'2014'!$Q69</f>
        <v>0</v>
      </c>
      <c r="AR65" s="21" t="s">
        <v>1051</v>
      </c>
      <c r="AS65" s="22" t="s">
        <v>822</v>
      </c>
      <c r="AT65" s="59" t="str">
        <f>'2012'!S70</f>
        <v>1370.9 (+243.0)</v>
      </c>
      <c r="AU65" s="22" t="str">
        <f>'2013'!$S70</f>
        <v>1252,1 (+124,2)</v>
      </c>
      <c r="AV65" s="23">
        <f>'2014'!$S69</f>
        <v>0</v>
      </c>
      <c r="AW65" s="23">
        <f>'2015'!$S70</f>
        <v>0</v>
      </c>
    </row>
    <row r="66" spans="1:49" ht="15" x14ac:dyDescent="0.3">
      <c r="A66" s="27" t="s">
        <v>1153</v>
      </c>
      <c r="B66" s="21" t="s">
        <v>880</v>
      </c>
      <c r="C66" s="22" t="s">
        <v>880</v>
      </c>
      <c r="D66" s="22" t="s">
        <v>612</v>
      </c>
      <c r="E66" s="22" t="str">
        <f>'2013'!C71</f>
        <v>0,0 (0,0)</v>
      </c>
      <c r="F66" s="22" t="str">
        <f>'2014'!$C70</f>
        <v>0,0 (0,0)</v>
      </c>
      <c r="G66" s="21" t="s">
        <v>1052</v>
      </c>
      <c r="H66" s="22" t="s">
        <v>823</v>
      </c>
      <c r="I66" s="22" t="s">
        <v>613</v>
      </c>
      <c r="J66" s="22" t="str">
        <f>'2013'!$E71</f>
        <v>22,9 (+21,2)</v>
      </c>
      <c r="K66" s="23" t="str">
        <f>'2014'!$E70</f>
        <v>8,8 (+7,0)</v>
      </c>
      <c r="L66" s="22" t="s">
        <v>1053</v>
      </c>
      <c r="M66" s="22" t="s">
        <v>824</v>
      </c>
      <c r="N66" s="22" t="s">
        <v>614</v>
      </c>
      <c r="O66" s="22" t="str">
        <f>'2013'!$G71</f>
        <v>192,5 (+79,5)</v>
      </c>
      <c r="P66" s="22" t="str">
        <f>'2014'!$G70</f>
        <v>139,8  (+27,6)</v>
      </c>
      <c r="Q66" s="27" t="s">
        <v>1153</v>
      </c>
      <c r="R66" s="22" t="s">
        <v>1054</v>
      </c>
      <c r="S66" s="22" t="s">
        <v>825</v>
      </c>
      <c r="T66" s="56" t="s">
        <v>1188</v>
      </c>
      <c r="U66" s="22" t="str">
        <f>'2013'!$I71</f>
        <v>430,4 (+65,8)</v>
      </c>
      <c r="V66" s="22" t="str">
        <f>'2014'!$I70</f>
        <v>419,1 (+55,7)</v>
      </c>
      <c r="W66" s="21" t="s">
        <v>1055</v>
      </c>
      <c r="X66" s="22" t="s">
        <v>826</v>
      </c>
      <c r="Y66" s="230" t="str">
        <f>'2012'!K71</f>
        <v>892.1 (+189.5)</v>
      </c>
      <c r="Z66" s="22" t="str">
        <f>'2013'!$K71</f>
        <v>789,9 (+87,4)</v>
      </c>
      <c r="AA66" s="22" t="str">
        <f>'2014'!$K70</f>
        <v>749,1 (+48,2)</v>
      </c>
      <c r="AB66" s="21" t="s">
        <v>1056</v>
      </c>
      <c r="AC66" s="22" t="s">
        <v>827</v>
      </c>
      <c r="AD66" s="220" t="str">
        <f>'2012'!M71</f>
        <v>1238,7 (+241,5)</v>
      </c>
      <c r="AE66" s="22" t="str">
        <f>'2013'!$M71</f>
        <v>1076,2 (+79,0)</v>
      </c>
      <c r="AF66" s="22" t="str">
        <f>'2014'!$M70</f>
        <v>1042,1 (+46,3)</v>
      </c>
      <c r="AG66" s="27" t="s">
        <v>1153</v>
      </c>
      <c r="AH66" s="21" t="s">
        <v>1057</v>
      </c>
      <c r="AI66" s="22" t="s">
        <v>828</v>
      </c>
      <c r="AJ66" s="56" t="s">
        <v>1287</v>
      </c>
      <c r="AK66" s="22" t="str">
        <f>'2013'!$O71</f>
        <v>1225,8 (+93,1)</v>
      </c>
      <c r="AL66" s="22" t="str">
        <f>'2014'!$O70</f>
        <v>1218,6 (+85,1)</v>
      </c>
      <c r="AM66" s="21" t="s">
        <v>1058</v>
      </c>
      <c r="AN66" s="22" t="s">
        <v>829</v>
      </c>
      <c r="AO66" s="59" t="str">
        <f>'2012'!Q71</f>
        <v>1474.4 (+338.1)</v>
      </c>
      <c r="AP66" s="22" t="str">
        <f>'2013'!$Q71</f>
        <v>1294,7 (+158,5)</v>
      </c>
      <c r="AQ66" s="22">
        <f>'2014'!$Q70</f>
        <v>0</v>
      </c>
      <c r="AR66" s="21" t="s">
        <v>1059</v>
      </c>
      <c r="AS66" s="22" t="s">
        <v>830</v>
      </c>
      <c r="AT66" s="59" t="str">
        <f>'2012'!S71</f>
        <v>1474.4 (+338.1)</v>
      </c>
      <c r="AU66" s="22" t="str">
        <f>'2013'!$S71</f>
        <v>1299,9 (+163,7)</v>
      </c>
      <c r="AV66" s="23">
        <f>'2014'!$S70</f>
        <v>0</v>
      </c>
      <c r="AW66" s="23">
        <f>'2015'!$S71</f>
        <v>0</v>
      </c>
    </row>
    <row r="67" spans="1:49" ht="15" x14ac:dyDescent="0.3">
      <c r="A67" s="27" t="s">
        <v>1154</v>
      </c>
      <c r="B67" s="21" t="s">
        <v>1060</v>
      </c>
      <c r="C67" s="22" t="s">
        <v>880</v>
      </c>
      <c r="D67" s="22" t="s">
        <v>615</v>
      </c>
      <c r="E67" s="22" t="str">
        <f>'2013'!C72</f>
        <v>0,0 (0,0)</v>
      </c>
      <c r="F67" s="22" t="str">
        <f>'2014'!$C71</f>
        <v>0,0 (0,0)</v>
      </c>
      <c r="G67" s="21" t="s">
        <v>1061</v>
      </c>
      <c r="H67" s="22" t="s">
        <v>831</v>
      </c>
      <c r="I67" s="22" t="s">
        <v>616</v>
      </c>
      <c r="J67" s="22" t="str">
        <f>'2013'!$E72</f>
        <v>17,6 (+15,8)</v>
      </c>
      <c r="K67" s="23" t="str">
        <f>'2014'!$E71</f>
        <v>6,8 (+5,1)</v>
      </c>
      <c r="L67" s="22" t="s">
        <v>1062</v>
      </c>
      <c r="M67" s="22" t="s">
        <v>832</v>
      </c>
      <c r="N67" s="22" t="s">
        <v>617</v>
      </c>
      <c r="O67" s="22" t="str">
        <f>'2013'!$G72</f>
        <v>189,2 (+79,4)</v>
      </c>
      <c r="P67" s="22" t="str">
        <f>'2014'!$G71</f>
        <v>135,1  (+27,0)</v>
      </c>
      <c r="Q67" s="27" t="s">
        <v>1154</v>
      </c>
      <c r="R67" s="22" t="s">
        <v>1063</v>
      </c>
      <c r="S67" s="22" t="s">
        <v>833</v>
      </c>
      <c r="T67" s="56" t="s">
        <v>1189</v>
      </c>
      <c r="U67" s="22" t="str">
        <f>'2013'!$I72</f>
        <v>427,2 (+69,6)</v>
      </c>
      <c r="V67" s="22" t="str">
        <f>'2014'!$I71</f>
        <v>402,8 (+47,9)</v>
      </c>
      <c r="W67" s="21" t="s">
        <v>1064</v>
      </c>
      <c r="X67" s="22" t="s">
        <v>834</v>
      </c>
      <c r="Y67" s="230" t="str">
        <f>'2012'!K72</f>
        <v>862.9 (+170.3)</v>
      </c>
      <c r="Z67" s="22" t="str">
        <f>'2013'!$K72</f>
        <v>790,2 (+97,6)</v>
      </c>
      <c r="AA67" s="22" t="str">
        <f>'2014'!$K71</f>
        <v>723,4 (+34,1)</v>
      </c>
      <c r="AB67" s="21" t="s">
        <v>1065</v>
      </c>
      <c r="AC67" s="22" t="s">
        <v>835</v>
      </c>
      <c r="AD67" s="220" t="str">
        <f>'2012'!M72</f>
        <v>1206,7 (+222,8)</v>
      </c>
      <c r="AE67" s="22" t="str">
        <f>'2013'!$M72</f>
        <v>1080,8 (+97,0)</v>
      </c>
      <c r="AF67" s="22" t="str">
        <f>'2014'!$M71</f>
        <v>1010,0 (+29,9)</v>
      </c>
      <c r="AG67" s="27" t="s">
        <v>1154</v>
      </c>
      <c r="AH67" s="21" t="s">
        <v>1066</v>
      </c>
      <c r="AI67" s="22" t="s">
        <v>836</v>
      </c>
      <c r="AJ67" s="56" t="s">
        <v>1288</v>
      </c>
      <c r="AK67" s="22" t="str">
        <f>'2013'!$O72</f>
        <v>1236,1 (+116,3)</v>
      </c>
      <c r="AL67" s="22" t="str">
        <f>'2014'!$O71</f>
        <v>1,188,7 (+71,6)</v>
      </c>
      <c r="AM67" s="21" t="s">
        <v>1067</v>
      </c>
      <c r="AN67" s="22" t="s">
        <v>837</v>
      </c>
      <c r="AO67" s="59" t="str">
        <f>'2012'!Q72</f>
        <v>1440.3 (+316.9)</v>
      </c>
      <c r="AP67" s="22" t="str">
        <f>'2013'!$Q72</f>
        <v>1302,8 (+179,4)</v>
      </c>
      <c r="AQ67" s="22">
        <f>'2014'!$Q71</f>
        <v>0</v>
      </c>
      <c r="AR67" s="21" t="s">
        <v>1068</v>
      </c>
      <c r="AS67" s="22" t="s">
        <v>838</v>
      </c>
      <c r="AT67" s="59" t="str">
        <f>'2012'!S72</f>
        <v>1445.6 (+322.2)</v>
      </c>
      <c r="AU67" s="22" t="str">
        <f>'2013'!$S72</f>
        <v>1308,9 (+185,5)</v>
      </c>
      <c r="AV67" s="23">
        <f>'2014'!$S71</f>
        <v>0</v>
      </c>
      <c r="AW67" s="23">
        <f>'2015'!$S72</f>
        <v>0</v>
      </c>
    </row>
    <row r="68" spans="1:49" ht="15" x14ac:dyDescent="0.3">
      <c r="A68" s="27" t="s">
        <v>1155</v>
      </c>
      <c r="B68" s="21" t="s">
        <v>881</v>
      </c>
      <c r="C68" s="22" t="s">
        <v>880</v>
      </c>
      <c r="D68" s="22" t="s">
        <v>618</v>
      </c>
      <c r="E68" s="22" t="str">
        <f>'2013'!C73</f>
        <v>0,0 (0,0)</v>
      </c>
      <c r="F68" s="22" t="str">
        <f>'2014'!$C72</f>
        <v>0,0 (0,0)</v>
      </c>
      <c r="G68" s="21" t="s">
        <v>1069</v>
      </c>
      <c r="H68" s="22" t="s">
        <v>839</v>
      </c>
      <c r="I68" s="22" t="s">
        <v>619</v>
      </c>
      <c r="J68" s="22" t="str">
        <f>'2013'!$E73</f>
        <v>20,6 (+18,7)</v>
      </c>
      <c r="K68" s="23" t="str">
        <f>'2014'!$E72</f>
        <v>9,4 (+7,4)</v>
      </c>
      <c r="L68" s="22" t="s">
        <v>1070</v>
      </c>
      <c r="M68" s="22" t="s">
        <v>840</v>
      </c>
      <c r="N68" s="22" t="s">
        <v>620</v>
      </c>
      <c r="O68" s="22" t="str">
        <f>'2013'!$G73</f>
        <v>173,9 (+63,1)</v>
      </c>
      <c r="P68" s="22" t="str">
        <f>'2014'!$G72</f>
        <v>134,8  (+26,6)</v>
      </c>
      <c r="Q68" s="27" t="s">
        <v>1155</v>
      </c>
      <c r="R68" s="22" t="s">
        <v>1071</v>
      </c>
      <c r="S68" s="22" t="s">
        <v>841</v>
      </c>
      <c r="T68" s="56" t="s">
        <v>1190</v>
      </c>
      <c r="U68" s="22" t="str">
        <f>'2013'!$I73</f>
        <v>399,6 (+39,2)</v>
      </c>
      <c r="V68" s="22" t="str">
        <f>'2014'!$I72</f>
        <v>397 (+41,3)</v>
      </c>
      <c r="W68" s="21" t="s">
        <v>1072</v>
      </c>
      <c r="X68" s="22" t="s">
        <v>842</v>
      </c>
      <c r="Y68" s="230" t="str">
        <f>'2012'!K73</f>
        <v>828.0 (+130.3)</v>
      </c>
      <c r="Z68" s="22" t="str">
        <f>'2013'!$K73</f>
        <v>749,6 (+51,9)</v>
      </c>
      <c r="AA68" s="22" t="str">
        <f>'2014'!$K72</f>
        <v>711,3 (+20,0)</v>
      </c>
      <c r="AB68" s="21" t="s">
        <v>1073</v>
      </c>
      <c r="AC68" s="22" t="s">
        <v>843</v>
      </c>
      <c r="AD68" s="220" t="str">
        <f>'2012'!M73</f>
        <v>1169,7 (+179,0)</v>
      </c>
      <c r="AE68" s="22" t="str">
        <f>'2013'!$M73</f>
        <v>1037,6 (+46,8)</v>
      </c>
      <c r="AF68" s="22" t="str">
        <f>'2014'!$M72</f>
        <v>993,5 (+11,0)</v>
      </c>
      <c r="AG68" s="27" t="s">
        <v>1155</v>
      </c>
      <c r="AH68" s="21" t="s">
        <v>1074</v>
      </c>
      <c r="AI68" s="22" t="s">
        <v>844</v>
      </c>
      <c r="AJ68" s="56" t="s">
        <v>1289</v>
      </c>
      <c r="AK68" s="22" t="str">
        <f>'2013'!$O73</f>
        <v>1173,9 (+47,4)</v>
      </c>
      <c r="AL68" s="22" t="str">
        <f>'2014'!$O72</f>
        <v>1163,7 (+45,8)</v>
      </c>
      <c r="AM68" s="21" t="s">
        <v>1075</v>
      </c>
      <c r="AN68" s="22" t="s">
        <v>845</v>
      </c>
      <c r="AO68" s="59" t="str">
        <f>'2012'!Q73</f>
        <v>1394.6 (+264.6)</v>
      </c>
      <c r="AP68" s="22" t="str">
        <f>'2013'!$Q73</f>
        <v>1234,4 (+104,4)</v>
      </c>
      <c r="AQ68" s="22">
        <f>'2014'!$Q72</f>
        <v>0</v>
      </c>
      <c r="AR68" s="21" t="s">
        <v>1076</v>
      </c>
      <c r="AS68" s="22" t="s">
        <v>846</v>
      </c>
      <c r="AT68" s="59" t="str">
        <f>'2012'!S73</f>
        <v>1394.6 (+264.6)</v>
      </c>
      <c r="AU68" s="22" t="str">
        <f>'2013'!$S73</f>
        <v>1239,9 (+109,8)</v>
      </c>
      <c r="AV68" s="23">
        <f>'2014'!$S72</f>
        <v>0</v>
      </c>
      <c r="AW68" s="23">
        <f>'2015'!$S73</f>
        <v>0</v>
      </c>
    </row>
    <row r="69" spans="1:49" ht="17.25" thickBot="1" x14ac:dyDescent="0.35">
      <c r="A69" s="36" t="s">
        <v>1455</v>
      </c>
      <c r="B69" s="40">
        <f>(0+0+0+0.1+0.5)/5</f>
        <v>0.12</v>
      </c>
      <c r="C69" s="41">
        <v>0</v>
      </c>
      <c r="D69" s="41">
        <f>(24.1+29.2+27.9+30.9+23.1)/5</f>
        <v>27.04</v>
      </c>
      <c r="E69" s="41">
        <f>'2013'!B74</f>
        <v>0</v>
      </c>
      <c r="F69" s="41">
        <f>'2014'!$B73</f>
        <v>0</v>
      </c>
      <c r="G69" s="40">
        <f>(18.2+30.3+33.5+36.2+30.2)/5</f>
        <v>29.68</v>
      </c>
      <c r="H69" s="41">
        <f>(13+21.7+19+26.3+23.4)/5</f>
        <v>20.68</v>
      </c>
      <c r="I69" s="41">
        <f>(41.1+48.9+50.2+53.2+45.7)/5</f>
        <v>47.819999999999993</v>
      </c>
      <c r="J69" s="41">
        <f>'2013'!$D74</f>
        <v>20.74</v>
      </c>
      <c r="K69" s="39">
        <f>'2014'!$D73</f>
        <v>8.0400000000000009</v>
      </c>
      <c r="L69" s="38">
        <f>(200+199.4+230.9+223.3+201.9)/5</f>
        <v>211.1</v>
      </c>
      <c r="M69" s="38">
        <f>(143.5+140.4+159+164.9+156.4)/5</f>
        <v>152.83999999999997</v>
      </c>
      <c r="N69" s="38">
        <f>(216.1+219.6+236.9+233.7+219.4)/5</f>
        <v>225.14000000000001</v>
      </c>
      <c r="O69" s="41">
        <f>'2013'!$F74</f>
        <v>185.14</v>
      </c>
      <c r="P69" s="41">
        <f>'2014'!$F73</f>
        <v>135.4</v>
      </c>
      <c r="Q69" s="36" t="s">
        <v>1162</v>
      </c>
      <c r="R69" s="38">
        <f>(431.8+433.3+475.6+459.8+431.5)/5</f>
        <v>446.4</v>
      </c>
      <c r="S69" s="38">
        <f>(426.6+392.5+443.2+429.7+413.2)/5</f>
        <v>421.03999999999996</v>
      </c>
      <c r="T69" s="38">
        <f>(499.5+475.6+530.9+507.7+486.1)/5</f>
        <v>499.96000000000004</v>
      </c>
      <c r="U69" s="41">
        <f>'2013'!$H74</f>
        <v>415.66</v>
      </c>
      <c r="V69" s="41">
        <f>'2014'!$H73</f>
        <v>404.84000000000003</v>
      </c>
      <c r="W69" s="37">
        <f>(799.8+824.6+861.3+853.58+824.5)/5</f>
        <v>832.75599999999997</v>
      </c>
      <c r="X69" s="38">
        <f>(804.6+772.7+831.2+810.8+801.2)/5</f>
        <v>804.1</v>
      </c>
      <c r="Y69" s="231">
        <f>'2012'!J74</f>
        <v>847.9799999999999</v>
      </c>
      <c r="Z69" s="41">
        <f>'2013'!$J74</f>
        <v>770.39999999999986</v>
      </c>
      <c r="AA69" s="41">
        <f>'2014'!$J73</f>
        <v>722.7</v>
      </c>
      <c r="AB69" s="37">
        <f>(1105.4+1135.9+1163.5+1167.7+1135.9)/5</f>
        <v>1141.6799999999998</v>
      </c>
      <c r="AC69" s="38">
        <f>(1125.2+1094.9+1147.3+1124.5+1107.9)/5</f>
        <v>1119.9600000000003</v>
      </c>
      <c r="AD69" s="221">
        <f>'2012'!L74</f>
        <v>1193.48</v>
      </c>
      <c r="AE69" s="43">
        <f>'2013'!$L74</f>
        <v>1058.28</v>
      </c>
      <c r="AF69" s="43">
        <f>'2014'!$L73</f>
        <v>1009.78</v>
      </c>
      <c r="AG69" s="36" t="s">
        <v>1162</v>
      </c>
      <c r="AH69" s="37">
        <f>(1284+1314.4+1350.9+1355.3+1310.8)/5</f>
        <v>1323.0800000000002</v>
      </c>
      <c r="AI69" s="38">
        <f>(1342.5+1303.6+1359.2+1333+1310.4)/5</f>
        <v>1329.7400000000002</v>
      </c>
      <c r="AJ69" s="63">
        <v>1363.7</v>
      </c>
      <c r="AK69" s="41">
        <f>'2013'!$N74</f>
        <v>1201.2399999999998</v>
      </c>
      <c r="AL69" s="41">
        <f>'2014'!$N73</f>
        <v>1184.7</v>
      </c>
      <c r="AM69" s="40">
        <f>(1306.5+1342.4+1377.7+1385.2+1337.8)/5</f>
        <v>1349.92</v>
      </c>
      <c r="AN69" s="41">
        <f>(1389.2+1357+1414.1+1390.5+1361.1)/5</f>
        <v>1382.3799999999999</v>
      </c>
      <c r="AO69" s="63">
        <f>'2012'!P74</f>
        <v>1418.9</v>
      </c>
      <c r="AP69" s="41">
        <f>'2013'!$P74</f>
        <v>1266.28</v>
      </c>
      <c r="AQ69" s="41" t="e">
        <f>'2014'!$P73</f>
        <v>#DIV/0!</v>
      </c>
      <c r="AR69" s="33">
        <f>(1306.5+1344.2+1378.2+1385.5+1339.1)/5</f>
        <v>1350.7</v>
      </c>
      <c r="AS69" s="43">
        <f>(1392.7+1363.5+1421.2+1395.8+1367.9)/5</f>
        <v>1388.22</v>
      </c>
      <c r="AT69" s="64">
        <f>'2012'!R74</f>
        <v>1419.9600000000003</v>
      </c>
      <c r="AU69" s="43">
        <f>'2013'!$R74</f>
        <v>1271.48</v>
      </c>
      <c r="AV69" s="44" t="e">
        <f>'2014'!$R73</f>
        <v>#DIV/0!</v>
      </c>
      <c r="AW69" s="44" t="e">
        <f>'2015'!$R74</f>
        <v>#DIV/0!</v>
      </c>
    </row>
    <row r="70" spans="1:49" ht="16.5" x14ac:dyDescent="0.3">
      <c r="A70" s="24" t="s">
        <v>1156</v>
      </c>
      <c r="B70" s="28"/>
      <c r="C70" s="25"/>
      <c r="D70" s="25"/>
      <c r="E70" s="25"/>
      <c r="F70" s="25"/>
      <c r="G70" s="28"/>
      <c r="H70" s="25"/>
      <c r="I70" s="25"/>
      <c r="J70" s="25"/>
      <c r="K70" s="29"/>
      <c r="L70" s="25"/>
      <c r="M70" s="25"/>
      <c r="N70" s="25"/>
      <c r="O70" s="25"/>
      <c r="P70" s="25"/>
      <c r="Q70" s="24" t="s">
        <v>1156</v>
      </c>
      <c r="R70" s="25"/>
      <c r="S70" s="25"/>
      <c r="T70" s="25"/>
      <c r="U70" s="25"/>
      <c r="V70" s="25"/>
      <c r="W70" s="28"/>
      <c r="X70" s="25"/>
      <c r="Y70" s="232"/>
      <c r="Z70" s="25"/>
      <c r="AA70" s="25"/>
      <c r="AB70" s="28"/>
      <c r="AC70" s="25"/>
      <c r="AD70" s="222"/>
      <c r="AE70" s="25"/>
      <c r="AF70" s="29"/>
      <c r="AG70" s="24" t="s">
        <v>1156</v>
      </c>
      <c r="AH70" s="28"/>
      <c r="AI70" s="25"/>
      <c r="AJ70" s="60"/>
      <c r="AK70" s="25"/>
      <c r="AL70" s="25"/>
      <c r="AM70" s="28"/>
      <c r="AN70" s="25"/>
      <c r="AO70" s="60"/>
      <c r="AP70" s="25"/>
      <c r="AQ70" s="25"/>
      <c r="AR70" s="28"/>
      <c r="AS70" s="25"/>
      <c r="AT70" s="60"/>
      <c r="AU70" s="25"/>
      <c r="AV70" s="196"/>
      <c r="AW70" s="196"/>
    </row>
    <row r="71" spans="1:49" ht="15" x14ac:dyDescent="0.3">
      <c r="A71" s="27" t="s">
        <v>1157</v>
      </c>
      <c r="B71" s="21" t="s">
        <v>880</v>
      </c>
      <c r="C71" s="22" t="s">
        <v>880</v>
      </c>
      <c r="D71" s="22" t="s">
        <v>621</v>
      </c>
      <c r="E71" s="22" t="str">
        <f>'2013'!C76</f>
        <v>0,0 (0,0)</v>
      </c>
      <c r="F71" s="22" t="str">
        <f>'2014'!$C75</f>
        <v>0,0 (0,0)</v>
      </c>
      <c r="G71" s="21" t="s">
        <v>1077</v>
      </c>
      <c r="H71" s="22" t="s">
        <v>847</v>
      </c>
      <c r="I71" s="22" t="s">
        <v>622</v>
      </c>
      <c r="J71" s="22" t="str">
        <f>'2013'!$E76</f>
        <v>10,9 (+10,9)</v>
      </c>
      <c r="K71" s="23" t="str">
        <f>'2014'!$E75</f>
        <v>1,2 (+1,2)</v>
      </c>
      <c r="L71" s="22" t="s">
        <v>1078</v>
      </c>
      <c r="M71" s="22" t="s">
        <v>848</v>
      </c>
      <c r="N71" s="22" t="s">
        <v>623</v>
      </c>
      <c r="O71" s="22" t="str">
        <f>'2013'!$G76</f>
        <v>116,3 (+55,3)</v>
      </c>
      <c r="P71" s="22" t="str">
        <f>'2014'!$G75</f>
        <v>105,4  (+47,4)</v>
      </c>
      <c r="Q71" s="27" t="s">
        <v>1157</v>
      </c>
      <c r="R71" s="22" t="s">
        <v>1079</v>
      </c>
      <c r="S71" s="22" t="s">
        <v>849</v>
      </c>
      <c r="T71" s="56" t="s">
        <v>1191</v>
      </c>
      <c r="U71" s="22" t="str">
        <f>'2013'!$I76</f>
        <v>294,4 (+43,5)</v>
      </c>
      <c r="V71" s="22" t="str">
        <f>'2014'!$I75</f>
        <v>334,8 (+89,9)</v>
      </c>
      <c r="W71" s="21" t="s">
        <v>1080</v>
      </c>
      <c r="X71" s="22" t="s">
        <v>850</v>
      </c>
      <c r="Y71" s="230" t="str">
        <f>'2012'!K76</f>
        <v>686.2 (+164.3)</v>
      </c>
      <c r="Z71" s="22" t="str">
        <f>'2013'!$K76</f>
        <v>598,7 (+76,7)</v>
      </c>
      <c r="AA71" s="22" t="str">
        <f>'2014'!$K75</f>
        <v>589,9 (+76,4)</v>
      </c>
      <c r="AB71" s="21" t="s">
        <v>1081</v>
      </c>
      <c r="AC71" s="22" t="s">
        <v>851</v>
      </c>
      <c r="AD71" s="220" t="str">
        <f>'2012'!M76</f>
        <v>970,3 (+221,6)</v>
      </c>
      <c r="AE71" s="22" t="str">
        <f>'2013'!$M76</f>
        <v>852,3 (+103,6)</v>
      </c>
      <c r="AF71" s="22" t="str">
        <f>'2014'!$M75</f>
        <v>836,7 (+98,4)</v>
      </c>
      <c r="AG71" s="27" t="s">
        <v>1157</v>
      </c>
      <c r="AH71" s="21" t="s">
        <v>1082</v>
      </c>
      <c r="AI71" s="22" t="s">
        <v>852</v>
      </c>
      <c r="AJ71" s="56" t="s">
        <v>1290</v>
      </c>
      <c r="AK71" s="22" t="str">
        <f>'2013'!$O76</f>
        <v>948,9 (+130,7)</v>
      </c>
      <c r="AL71" s="22" t="str">
        <f>'2014'!$O75</f>
        <v>975,8 (+167,8)</v>
      </c>
      <c r="AM71" s="21" t="s">
        <v>1083</v>
      </c>
      <c r="AN71" s="22" t="s">
        <v>853</v>
      </c>
      <c r="AO71" s="59" t="str">
        <f>'2012'!Q76</f>
        <v>1121.7 (+303.5)</v>
      </c>
      <c r="AP71" s="22" t="str">
        <f>'2013'!$Q76</f>
        <v>993,9 (+175,7)</v>
      </c>
      <c r="AQ71" s="22">
        <f>'2014'!$Q75</f>
        <v>0</v>
      </c>
      <c r="AR71" s="21" t="s">
        <v>1083</v>
      </c>
      <c r="AS71" s="22" t="s">
        <v>854</v>
      </c>
      <c r="AT71" s="59" t="str">
        <f>'2012'!S76</f>
        <v>1121.7 (+303.5)</v>
      </c>
      <c r="AU71" s="22" t="str">
        <f>'2013'!$S76</f>
        <v>995,4 (+177,2)</v>
      </c>
      <c r="AV71" s="23">
        <f>'2014'!$S75</f>
        <v>0</v>
      </c>
      <c r="AW71" s="23">
        <f>'2015'!$S76</f>
        <v>0</v>
      </c>
    </row>
    <row r="72" spans="1:49" ht="15" x14ac:dyDescent="0.3">
      <c r="A72" s="27" t="s">
        <v>1158</v>
      </c>
      <c r="B72" s="21" t="s">
        <v>881</v>
      </c>
      <c r="C72" s="22" t="s">
        <v>880</v>
      </c>
      <c r="D72" s="22" t="s">
        <v>624</v>
      </c>
      <c r="E72" s="22" t="str">
        <f>'2013'!C77</f>
        <v>0,0 (0,0)</v>
      </c>
      <c r="F72" s="22" t="str">
        <f>'2014'!$C76</f>
        <v>0,0 (0,0)</v>
      </c>
      <c r="G72" s="21" t="s">
        <v>1084</v>
      </c>
      <c r="H72" s="22" t="s">
        <v>855</v>
      </c>
      <c r="I72" s="22" t="s">
        <v>625</v>
      </c>
      <c r="J72" s="22" t="str">
        <f>'2013'!$E77</f>
        <v>17,0 (+17,0)</v>
      </c>
      <c r="K72" s="23" t="str">
        <f>'2014'!$E76</f>
        <v>6,8 (+6,8)</v>
      </c>
      <c r="L72" s="22" t="s">
        <v>1085</v>
      </c>
      <c r="M72" s="22" t="s">
        <v>856</v>
      </c>
      <c r="N72" s="22" t="s">
        <v>626</v>
      </c>
      <c r="O72" s="22" t="str">
        <f>'2013'!$G77</f>
        <v>160,8 (+71,1)</v>
      </c>
      <c r="P72" s="22" t="str">
        <f>'2014'!$G76</f>
        <v>145  (+50,0)</v>
      </c>
      <c r="Q72" s="27" t="s">
        <v>1158</v>
      </c>
      <c r="R72" s="22" t="s">
        <v>1086</v>
      </c>
      <c r="S72" s="22" t="s">
        <v>857</v>
      </c>
      <c r="T72" s="56" t="s">
        <v>1192</v>
      </c>
      <c r="U72" s="22" t="str">
        <f>'2013'!$I77</f>
        <v>393,9 (+78,6)</v>
      </c>
      <c r="V72" s="22" t="str">
        <f>'2014'!$I76</f>
        <v>420,5 (+93,3)</v>
      </c>
      <c r="W72" s="21" t="s">
        <v>1087</v>
      </c>
      <c r="X72" s="22" t="s">
        <v>858</v>
      </c>
      <c r="Y72" s="230" t="str">
        <f>'2012'!K77</f>
        <v>884.5 (+257.9)</v>
      </c>
      <c r="Z72" s="22" t="str">
        <f>'2013'!$K77</f>
        <v>743,4 (+116,8)</v>
      </c>
      <c r="AA72" s="22" t="str">
        <f>'2014'!$K76</f>
        <v>713,5 (+67,4)</v>
      </c>
      <c r="AB72" s="21" t="s">
        <v>1088</v>
      </c>
      <c r="AC72" s="22" t="s">
        <v>859</v>
      </c>
      <c r="AD72" s="220" t="str">
        <f>'2012'!M77</f>
        <v>1223,5 (+330,0)</v>
      </c>
      <c r="AE72" s="22" t="str">
        <f>'2013'!$M77</f>
        <v>1023,9 (+130,3)</v>
      </c>
      <c r="AF72" s="22" t="str">
        <f>'2014'!$M76</f>
        <v>993 (+70,9)</v>
      </c>
      <c r="AG72" s="27" t="s">
        <v>1158</v>
      </c>
      <c r="AH72" s="21" t="s">
        <v>1089</v>
      </c>
      <c r="AI72" s="22" t="s">
        <v>860</v>
      </c>
      <c r="AJ72" s="56" t="s">
        <v>1291</v>
      </c>
      <c r="AK72" s="22" t="str">
        <f>'2013'!$O77</f>
        <v>1148,0 (+150,7)</v>
      </c>
      <c r="AL72" s="22" t="str">
        <f>'2014'!$O76</f>
        <v>1158,7 (+122,8)</v>
      </c>
      <c r="AM72" s="21" t="s">
        <v>1090</v>
      </c>
      <c r="AN72" s="22" t="s">
        <v>861</v>
      </c>
      <c r="AO72" s="59" t="str">
        <f>'2012'!Q77</f>
        <v>1431.0 (+433.3)</v>
      </c>
      <c r="AP72" s="22" t="str">
        <f>'2013'!$Q77</f>
        <v>1213,3 (+215,6)</v>
      </c>
      <c r="AQ72" s="22">
        <f>'2014'!$Q76</f>
        <v>0</v>
      </c>
      <c r="AR72" s="21" t="s">
        <v>1090</v>
      </c>
      <c r="AS72" s="22" t="s">
        <v>862</v>
      </c>
      <c r="AT72" s="59" t="str">
        <f>'2012'!S77</f>
        <v>1431.8 (+434.1)</v>
      </c>
      <c r="AU72" s="22" t="str">
        <f>'2013'!$S77</f>
        <v>1216,0 (+218,2)</v>
      </c>
      <c r="AV72" s="23">
        <f>'2014'!$S76</f>
        <v>0</v>
      </c>
      <c r="AW72" s="23">
        <f>'2015'!$S77</f>
        <v>0</v>
      </c>
    </row>
    <row r="73" spans="1:49" ht="15" x14ac:dyDescent="0.3">
      <c r="A73" s="27" t="s">
        <v>1159</v>
      </c>
      <c r="B73" s="21" t="s">
        <v>880</v>
      </c>
      <c r="C73" s="22" t="s">
        <v>880</v>
      </c>
      <c r="D73" s="22" t="s">
        <v>627</v>
      </c>
      <c r="E73" s="22" t="str">
        <f>'2013'!C78</f>
        <v>0,0 (0,0)</v>
      </c>
      <c r="F73" s="22" t="str">
        <f>'2014'!$C77</f>
        <v>0,0 (0,0)</v>
      </c>
      <c r="G73" s="21" t="s">
        <v>1091</v>
      </c>
      <c r="H73" s="22" t="s">
        <v>863</v>
      </c>
      <c r="I73" s="22" t="s">
        <v>628</v>
      </c>
      <c r="J73" s="22" t="str">
        <f>'2013'!$E78</f>
        <v>14,4 (+14,4)</v>
      </c>
      <c r="K73" s="23" t="str">
        <f>'2014'!$E77</f>
        <v>3,0 (+3,0)</v>
      </c>
      <c r="L73" s="22" t="s">
        <v>1092</v>
      </c>
      <c r="M73" s="22" t="s">
        <v>864</v>
      </c>
      <c r="N73" s="22" t="s">
        <v>629</v>
      </c>
      <c r="O73" s="22" t="str">
        <f>'2013'!$G78</f>
        <v>138,3 (+63,2)</v>
      </c>
      <c r="P73" s="22" t="str">
        <f>'2014'!$G77</f>
        <v>110,6  (+34,5)</v>
      </c>
      <c r="Q73" s="27" t="s">
        <v>1159</v>
      </c>
      <c r="R73" s="22" t="s">
        <v>1093</v>
      </c>
      <c r="S73" s="22" t="s">
        <v>865</v>
      </c>
      <c r="T73" s="56" t="s">
        <v>1193</v>
      </c>
      <c r="U73" s="22" t="str">
        <f>'2013'!$I78</f>
        <v>341,6 (+58,6)</v>
      </c>
      <c r="V73" s="22" t="str">
        <f>'2014'!$I77</f>
        <v>354 (+68,4)</v>
      </c>
      <c r="W73" s="21" t="s">
        <v>1094</v>
      </c>
      <c r="X73" s="22" t="s">
        <v>866</v>
      </c>
      <c r="Y73" s="230" t="str">
        <f>'2012'!K78</f>
        <v>705.8 (+132.2)</v>
      </c>
      <c r="Z73" s="22" t="str">
        <f>'2013'!$K78</f>
        <v>662,0 (+88,4)</v>
      </c>
      <c r="AA73" s="22" t="str">
        <f>'2014'!$K77</f>
        <v>619,1 (+40,2)</v>
      </c>
      <c r="AB73" s="21" t="s">
        <v>1095</v>
      </c>
      <c r="AC73" s="22" t="s">
        <v>867</v>
      </c>
      <c r="AD73" s="220" t="str">
        <f>'2012'!M78</f>
        <v>1000,5 (+180,5)</v>
      </c>
      <c r="AE73" s="22" t="str">
        <f>'2013'!$M78</f>
        <v>931,4 (+111,3)</v>
      </c>
      <c r="AF73" s="22" t="str">
        <f>'2014'!$M77</f>
        <v>881,1 (+52,3)</v>
      </c>
      <c r="AG73" s="27" t="s">
        <v>1159</v>
      </c>
      <c r="AH73" s="21" t="s">
        <v>1096</v>
      </c>
      <c r="AI73" s="22" t="s">
        <v>868</v>
      </c>
      <c r="AJ73" s="56" t="s">
        <v>1292</v>
      </c>
      <c r="AK73" s="22" t="str">
        <f>'2013'!$O78</f>
        <v>1041,3 (+135,1)</v>
      </c>
      <c r="AL73" s="22" t="str">
        <f>'2014'!$O77</f>
        <v>1033,0 (+113,5)</v>
      </c>
      <c r="AM73" s="21" t="s">
        <v>1097</v>
      </c>
      <c r="AN73" s="22" t="s">
        <v>869</v>
      </c>
      <c r="AO73" s="59" t="str">
        <f>'2012'!Q78</f>
        <v>1161.7 (+255.5)</v>
      </c>
      <c r="AP73" s="22" t="str">
        <f>'2013'!$Q78</f>
        <v>1101,4 (+195,1)</v>
      </c>
      <c r="AQ73" s="22">
        <f>'2014'!$Q77</f>
        <v>0</v>
      </c>
      <c r="AR73" s="21" t="s">
        <v>1097</v>
      </c>
      <c r="AS73" s="22" t="s">
        <v>870</v>
      </c>
      <c r="AT73" s="59" t="str">
        <f>'2012'!S78</f>
        <v>1161.7 (+255.5)</v>
      </c>
      <c r="AU73" s="22" t="str">
        <f>'2013'!$S78</f>
        <v>1103,2 (+197,0)</v>
      </c>
      <c r="AV73" s="23">
        <f>'2014'!$S77</f>
        <v>0</v>
      </c>
      <c r="AW73" s="23">
        <f>'2015'!$S78</f>
        <v>0</v>
      </c>
    </row>
    <row r="74" spans="1:49" ht="17.25" thickBot="1" x14ac:dyDescent="0.35">
      <c r="A74" s="32" t="s">
        <v>1456</v>
      </c>
      <c r="B74" s="42">
        <f>0.5/3</f>
        <v>0.16666666666666666</v>
      </c>
      <c r="C74" s="34">
        <v>0</v>
      </c>
      <c r="D74" s="43">
        <f>(11.1+26+11.7)/3</f>
        <v>16.266666666666666</v>
      </c>
      <c r="E74" s="43">
        <f>'2013'!B79</f>
        <v>0</v>
      </c>
      <c r="F74" s="43">
        <f>'2014'!$B78</f>
        <v>0</v>
      </c>
      <c r="G74" s="42">
        <f>(14.7+31+416.8)/3</f>
        <v>154.16666666666666</v>
      </c>
      <c r="H74" s="43">
        <f>(16.2+20.2+14)/3</f>
        <v>16.8</v>
      </c>
      <c r="I74" s="43">
        <f>(20.6+39.2+22.9)/3</f>
        <v>27.566666666666666</v>
      </c>
      <c r="J74" s="43">
        <f>'2013'!$D79</f>
        <v>14.1</v>
      </c>
      <c r="K74" s="44">
        <f>'2014'!$D78</f>
        <v>3.6666666666666665</v>
      </c>
      <c r="L74" s="43">
        <f>(156.2+216.4+171)/3</f>
        <v>181.20000000000002</v>
      </c>
      <c r="M74" s="43">
        <f>(113.3+167.4+117.9)/3</f>
        <v>132.86666666666667</v>
      </c>
      <c r="N74" s="43">
        <f>(149.7+223.8+161.2)/3</f>
        <v>178.23333333333335</v>
      </c>
      <c r="O74" s="43">
        <f>'2013'!$F79</f>
        <v>138.46666666666667</v>
      </c>
      <c r="P74" s="43">
        <f>'2014'!$F78</f>
        <v>120.33333333333333</v>
      </c>
      <c r="Q74" s="32" t="s">
        <v>1162</v>
      </c>
      <c r="R74" s="43">
        <f>(341+453.5+364)/3</f>
        <v>386.16666666666669</v>
      </c>
      <c r="S74" s="43">
        <f>(336.7+441.7+341.8)/3</f>
        <v>373.40000000000003</v>
      </c>
      <c r="T74" s="43">
        <f>(378.2+505.8+395.9)/3</f>
        <v>426.63333333333338</v>
      </c>
      <c r="U74" s="43">
        <f>'2013'!$H79</f>
        <v>343.3</v>
      </c>
      <c r="V74" s="43">
        <f>'2014'!$H78</f>
        <v>369.76666666666665</v>
      </c>
      <c r="W74" s="33">
        <f>(668.3+827.8+703.5)/3</f>
        <v>733.19999999999993</v>
      </c>
      <c r="X74" s="34">
        <f>(662.8+795.2+673.8)/3</f>
        <v>710.6</v>
      </c>
      <c r="Y74" s="233">
        <f>'2012'!J79</f>
        <v>758.76666666666677</v>
      </c>
      <c r="Z74" s="43">
        <f>'2013'!$J79</f>
        <v>668.0333333333333</v>
      </c>
      <c r="AA74" s="43">
        <f>'2014'!$J78</f>
        <v>640.83333333333337</v>
      </c>
      <c r="AB74" s="33">
        <f>(932+1128.2+973.7)/3</f>
        <v>1011.2999999999998</v>
      </c>
      <c r="AC74" s="34">
        <f>(938.1+1090.6+954.8)/3</f>
        <v>994.5</v>
      </c>
      <c r="AD74" s="227">
        <f>'2012'!L79</f>
        <v>1064.7666666666667</v>
      </c>
      <c r="AE74" s="43">
        <f>'2013'!$L79</f>
        <v>935.86666666666667</v>
      </c>
      <c r="AF74" s="43">
        <f>'2014'!$L78</f>
        <v>903.6</v>
      </c>
      <c r="AG74" s="32" t="s">
        <v>1162</v>
      </c>
      <c r="AH74" s="42">
        <f>(1055.9+1284+1106.9)/3</f>
        <v>1148.9333333333334</v>
      </c>
      <c r="AI74" s="34">
        <f>(1112.5+1308+1134.2)/3</f>
        <v>1184.8999999999999</v>
      </c>
      <c r="AJ74" s="61">
        <v>1195.0666666666666</v>
      </c>
      <c r="AK74" s="43">
        <f>'2013'!$N79</f>
        <v>1046.0666666666666</v>
      </c>
      <c r="AL74" s="43">
        <f>'2014'!$N78</f>
        <v>1055.8333333333333</v>
      </c>
      <c r="AM74" s="42">
        <f>(1069.8+1308.2+1120.8)/3</f>
        <v>1166.2666666666667</v>
      </c>
      <c r="AN74" s="43">
        <f>(1143.5+1362.7+1166.6)/3</f>
        <v>1224.2666666666667</v>
      </c>
      <c r="AO74" s="61">
        <f>'2012'!P79</f>
        <v>1238.1333333333332</v>
      </c>
      <c r="AP74" s="43">
        <f>'2013'!$P79</f>
        <v>1102.8666666666666</v>
      </c>
      <c r="AQ74" s="43" t="e">
        <f>'2014'!$P78</f>
        <v>#DIV/0!</v>
      </c>
      <c r="AR74" s="42">
        <f>(1069.8+1308.2+1120.8)/3</f>
        <v>1166.2666666666667</v>
      </c>
      <c r="AS74" s="34">
        <f>(1145.9+1367.7+1168.6)/3</f>
        <v>1227.4000000000001</v>
      </c>
      <c r="AT74" s="61">
        <f>'2012'!R79</f>
        <v>1238.3999999999999</v>
      </c>
      <c r="AU74" s="43">
        <f>'2013'!$R79</f>
        <v>1104.8666666666668</v>
      </c>
      <c r="AV74" s="44" t="e">
        <f>'2014'!$R78</f>
        <v>#DIV/0!</v>
      </c>
      <c r="AW74" s="44" t="e">
        <f>'2015'!$R79</f>
        <v>#DIV/0!</v>
      </c>
    </row>
    <row r="75" spans="1:49" ht="16.5" x14ac:dyDescent="0.3">
      <c r="A75" s="26" t="s">
        <v>1160</v>
      </c>
      <c r="B75" s="18"/>
      <c r="C75" s="19"/>
      <c r="D75" s="19"/>
      <c r="E75" s="19"/>
      <c r="F75" s="19"/>
      <c r="G75" s="18"/>
      <c r="H75" s="19"/>
      <c r="I75" s="19"/>
      <c r="J75" s="19"/>
      <c r="K75" s="20"/>
      <c r="L75" s="19"/>
      <c r="M75" s="19"/>
      <c r="N75" s="19"/>
      <c r="O75" s="19"/>
      <c r="P75" s="19"/>
      <c r="Q75" s="26" t="s">
        <v>1160</v>
      </c>
      <c r="R75" s="19"/>
      <c r="S75" s="19"/>
      <c r="T75" s="19"/>
      <c r="U75" s="19"/>
      <c r="V75" s="19"/>
      <c r="W75" s="18"/>
      <c r="X75" s="19"/>
      <c r="Y75" s="230"/>
      <c r="Z75" s="19"/>
      <c r="AA75" s="19"/>
      <c r="AB75" s="18"/>
      <c r="AC75" s="19"/>
      <c r="AD75" s="220"/>
      <c r="AE75" s="19"/>
      <c r="AF75" s="20"/>
      <c r="AG75" s="26" t="s">
        <v>1160</v>
      </c>
      <c r="AH75" s="18"/>
      <c r="AI75" s="19"/>
      <c r="AJ75" s="59"/>
      <c r="AK75" s="19"/>
      <c r="AL75" s="19"/>
      <c r="AM75" s="18"/>
      <c r="AN75" s="19"/>
      <c r="AO75" s="59"/>
      <c r="AP75" s="19"/>
      <c r="AQ75" s="19"/>
      <c r="AR75" s="28"/>
      <c r="AS75" s="25"/>
      <c r="AT75" s="60"/>
      <c r="AU75" s="25"/>
      <c r="AV75" s="199"/>
      <c r="AW75" s="199"/>
    </row>
    <row r="76" spans="1:49" ht="15.75" thickBot="1" x14ac:dyDescent="0.35">
      <c r="A76" s="27" t="s">
        <v>1161</v>
      </c>
      <c r="B76" s="21" t="s">
        <v>880</v>
      </c>
      <c r="C76" s="22" t="s">
        <v>880</v>
      </c>
      <c r="D76" s="22" t="s">
        <v>895</v>
      </c>
      <c r="E76" s="22" t="str">
        <f>'2013'!C81</f>
        <v>0,0 (0,0)</v>
      </c>
      <c r="F76" s="22" t="str">
        <f>'2014'!$C80</f>
        <v>0,0 (0,0)</v>
      </c>
      <c r="G76" s="21" t="s">
        <v>1098</v>
      </c>
      <c r="H76" s="22" t="s">
        <v>880</v>
      </c>
      <c r="I76" s="22" t="s">
        <v>630</v>
      </c>
      <c r="J76" s="22" t="str">
        <f>'2013'!$E81</f>
        <v>9,3 (+9,3)</v>
      </c>
      <c r="K76" s="23" t="str">
        <f>'2014'!$E80</f>
        <v>0,0 (0,0)</v>
      </c>
      <c r="L76" s="22" t="s">
        <v>1099</v>
      </c>
      <c r="M76" s="22" t="s">
        <v>871</v>
      </c>
      <c r="N76" s="22" t="s">
        <v>631</v>
      </c>
      <c r="O76" s="22" t="str">
        <f>'2013'!$G81</f>
        <v>91,4 (+63,4)</v>
      </c>
      <c r="P76" s="22" t="str">
        <f>'2014'!$G80</f>
        <v>71,5  (+43,9)</v>
      </c>
      <c r="Q76" s="27" t="s">
        <v>1161</v>
      </c>
      <c r="R76" s="22" t="s">
        <v>1100</v>
      </c>
      <c r="S76" s="22" t="s">
        <v>872</v>
      </c>
      <c r="T76" s="56" t="s">
        <v>1194</v>
      </c>
      <c r="U76" s="22" t="str">
        <f>'2013'!$I81</f>
        <v>227,2 (+38,6)</v>
      </c>
      <c r="V76" s="22" t="str">
        <f>'2014'!$I80</f>
        <v>296 (+107,0)</v>
      </c>
      <c r="W76" s="21" t="s">
        <v>1101</v>
      </c>
      <c r="X76" s="22" t="s">
        <v>873</v>
      </c>
      <c r="Y76" s="230" t="str">
        <f>'2012'!K81</f>
        <v>598.6 (+166.6)</v>
      </c>
      <c r="Z76" s="22" t="str">
        <f>'2013'!$K81</f>
        <v>485,8 (+53,8)</v>
      </c>
      <c r="AA76" s="22" t="str">
        <f>'2014'!$K80</f>
        <v>568,9 (+135,1)</v>
      </c>
      <c r="AB76" s="21" t="s">
        <v>1102</v>
      </c>
      <c r="AC76" s="22" t="s">
        <v>874</v>
      </c>
      <c r="AD76" s="220" t="str">
        <f>'2012'!M81</f>
        <v>861,6 (+233,1)</v>
      </c>
      <c r="AE76" s="22" t="str">
        <f>'2013'!$M81</f>
        <v>712,3 (+83,8)</v>
      </c>
      <c r="AF76" s="22" t="str">
        <f>'2014'!$M80</f>
        <v>810,4 (+176,9)</v>
      </c>
      <c r="AG76" s="27" t="s">
        <v>1161</v>
      </c>
      <c r="AH76" s="21" t="s">
        <v>1103</v>
      </c>
      <c r="AI76" s="22" t="s">
        <v>875</v>
      </c>
      <c r="AJ76" s="56" t="s">
        <v>1293</v>
      </c>
      <c r="AK76" s="22" t="str">
        <f>'2013'!$O81</f>
        <v>801,4 (+127,3)</v>
      </c>
      <c r="AL76" s="22" t="str">
        <f>'2014'!O80</f>
        <v>917,4 (+236,2)</v>
      </c>
      <c r="AM76" s="21" t="s">
        <v>1104</v>
      </c>
      <c r="AN76" s="22" t="s">
        <v>876</v>
      </c>
      <c r="AO76" s="59" t="str">
        <f>'2012'!Q81</f>
        <v>985.8 (+311.7)</v>
      </c>
      <c r="AP76" s="22" t="str">
        <f>'2013'!$Q81</f>
        <v>841,1 (+167,0)</v>
      </c>
      <c r="AQ76" s="22">
        <f>'2014'!$Q80</f>
        <v>0</v>
      </c>
      <c r="AR76" s="83" t="s">
        <v>1104</v>
      </c>
      <c r="AS76" s="200" t="s">
        <v>876</v>
      </c>
      <c r="AT76" s="65" t="str">
        <f>'2012'!S81</f>
        <v>985.8 (+311.7)</v>
      </c>
      <c r="AU76" s="200" t="str">
        <f>'2013'!$S81</f>
        <v>839,5 (+165,4)</v>
      </c>
      <c r="AV76" s="98">
        <f>'2014'!$S80</f>
        <v>0</v>
      </c>
      <c r="AW76" s="98">
        <f>'2015'!$S81</f>
        <v>0</v>
      </c>
    </row>
    <row r="77" spans="1:49" ht="17.25" thickBot="1" x14ac:dyDescent="0.35">
      <c r="A77" s="75" t="s">
        <v>1457</v>
      </c>
      <c r="B77" s="46">
        <v>0</v>
      </c>
      <c r="C77" s="47">
        <v>0</v>
      </c>
      <c r="D77" s="47">
        <v>9.1</v>
      </c>
      <c r="E77" s="47">
        <f>'2013'!B82</f>
        <v>0</v>
      </c>
      <c r="F77" s="47">
        <f>'2014'!$B81</f>
        <v>0</v>
      </c>
      <c r="G77" s="46">
        <v>5.2</v>
      </c>
      <c r="H77" s="47">
        <v>0</v>
      </c>
      <c r="I77" s="47">
        <v>14.1</v>
      </c>
      <c r="J77" s="47">
        <f>'2013'!$D82</f>
        <v>9.3000000000000007</v>
      </c>
      <c r="K77" s="48">
        <f>'2014'!$D81</f>
        <v>0</v>
      </c>
      <c r="L77" s="47">
        <v>113.3</v>
      </c>
      <c r="M77" s="47">
        <v>53.5</v>
      </c>
      <c r="N77" s="47">
        <v>112.7</v>
      </c>
      <c r="O77" s="47">
        <f>'2013'!$F82</f>
        <v>91.4</v>
      </c>
      <c r="P77" s="47">
        <f>'2014'!$F81</f>
        <v>71.5</v>
      </c>
      <c r="Q77" s="75" t="s">
        <v>1162</v>
      </c>
      <c r="R77" s="47">
        <v>259</v>
      </c>
      <c r="S77" s="47">
        <v>230.2</v>
      </c>
      <c r="T77" s="47">
        <f>321.1</f>
        <v>321.10000000000002</v>
      </c>
      <c r="U77" s="47">
        <f>'2013'!$H82</f>
        <v>227.2</v>
      </c>
      <c r="V77" s="47">
        <f>'2014'!$H81</f>
        <v>296</v>
      </c>
      <c r="W77" s="46">
        <v>570.20000000000005</v>
      </c>
      <c r="X77" s="47">
        <v>507.8</v>
      </c>
      <c r="Y77" s="237">
        <f>'2012'!J82</f>
        <v>735.76457142857157</v>
      </c>
      <c r="Z77" s="47">
        <f>'2013'!$J82</f>
        <v>485.8</v>
      </c>
      <c r="AA77" s="47">
        <f>'2014'!$J81</f>
        <v>568.9</v>
      </c>
      <c r="AB77" s="46">
        <v>847.6</v>
      </c>
      <c r="AC77" s="47">
        <v>756.2</v>
      </c>
      <c r="AD77" s="228">
        <f>'2012'!L82</f>
        <v>861.6</v>
      </c>
      <c r="AE77" s="47">
        <f>'2013'!$L82</f>
        <v>712.3</v>
      </c>
      <c r="AF77" s="47">
        <f>'2014'!$L81</f>
        <v>810.4</v>
      </c>
      <c r="AG77" s="75" t="s">
        <v>1162</v>
      </c>
      <c r="AH77" s="46">
        <v>936.7</v>
      </c>
      <c r="AI77" s="47">
        <v>878</v>
      </c>
      <c r="AJ77" s="73">
        <v>966.9</v>
      </c>
      <c r="AK77" s="47">
        <f>'2013'!$N82</f>
        <v>801.4</v>
      </c>
      <c r="AL77" s="47">
        <f>'2014'!$N81</f>
        <v>917.4</v>
      </c>
      <c r="AM77" s="46">
        <v>941</v>
      </c>
      <c r="AN77" s="47">
        <v>907.7</v>
      </c>
      <c r="AO77" s="73">
        <f>'2012'!P82</f>
        <v>985.8</v>
      </c>
      <c r="AP77" s="47">
        <f>'2013'!$P82</f>
        <v>841.1</v>
      </c>
      <c r="AQ77" s="47" t="e">
        <f>'2014'!$P81</f>
        <v>#DIV/0!</v>
      </c>
      <c r="AR77" s="46">
        <v>941</v>
      </c>
      <c r="AS77" s="47">
        <v>907.7</v>
      </c>
      <c r="AT77" s="73">
        <f>'2012'!R82</f>
        <v>985.8</v>
      </c>
      <c r="AU77" s="47">
        <f>'2013'!$R82</f>
        <v>839.5</v>
      </c>
      <c r="AV77" s="48" t="e">
        <f>'2014'!$R81</f>
        <v>#DIV/0!</v>
      </c>
      <c r="AW77" s="48" t="e">
        <f>'2015'!$R82</f>
        <v>#DIV/0!</v>
      </c>
    </row>
    <row r="78" spans="1:49" ht="15" customHeight="1" x14ac:dyDescent="0.3">
      <c r="A78" s="249" t="s">
        <v>1117</v>
      </c>
      <c r="B78" s="249"/>
      <c r="N78" s="13"/>
      <c r="O78" s="71"/>
      <c r="P78" s="71"/>
      <c r="Q78" s="249" t="s">
        <v>1117</v>
      </c>
      <c r="R78" s="249"/>
      <c r="S78" s="246" t="s">
        <v>1608</v>
      </c>
      <c r="T78" s="246"/>
      <c r="U78" s="246"/>
      <c r="V78" s="246"/>
      <c r="Z78" s="71"/>
      <c r="AA78" s="71"/>
      <c r="AE78" s="71"/>
      <c r="AF78" s="71"/>
      <c r="AG78" s="249" t="s">
        <v>1117</v>
      </c>
      <c r="AH78" s="249"/>
      <c r="AK78" s="71"/>
      <c r="AL78" s="71"/>
      <c r="AP78" s="71"/>
      <c r="AQ78" s="71"/>
      <c r="AU78" s="71"/>
    </row>
    <row r="79" spans="1:49" ht="15" x14ac:dyDescent="0.3">
      <c r="A79" s="8"/>
      <c r="B79" s="8"/>
      <c r="N79" s="13"/>
      <c r="O79" s="71"/>
      <c r="P79" s="71"/>
      <c r="Q79" s="8"/>
      <c r="R79" s="8"/>
      <c r="U79" s="71"/>
      <c r="V79" s="71"/>
      <c r="Z79" s="71"/>
      <c r="AA79" s="71"/>
      <c r="AE79" s="71"/>
      <c r="AF79" s="71"/>
      <c r="AG79" s="8"/>
      <c r="AH79" s="8"/>
      <c r="AK79" s="71"/>
      <c r="AL79" s="71"/>
      <c r="AP79" s="71"/>
      <c r="AQ79" s="71"/>
      <c r="AU79" s="71"/>
    </row>
    <row r="80" spans="1:49" ht="15" x14ac:dyDescent="0.3">
      <c r="A80" s="8"/>
      <c r="B80" s="8"/>
      <c r="N80" s="13"/>
      <c r="O80" s="71"/>
      <c r="P80" s="71"/>
      <c r="Q80" s="8"/>
      <c r="R80" s="8"/>
      <c r="U80" s="71"/>
      <c r="V80" s="71"/>
      <c r="Z80" s="71"/>
      <c r="AA80" s="71"/>
      <c r="AE80" s="71"/>
      <c r="AF80" s="71"/>
      <c r="AG80" s="8"/>
      <c r="AH80" s="8"/>
      <c r="AK80" s="71"/>
      <c r="AL80" s="71"/>
      <c r="AP80" s="71"/>
      <c r="AQ80" s="71"/>
      <c r="AU80" s="71"/>
    </row>
    <row r="81" spans="1:47" x14ac:dyDescent="0.2">
      <c r="A81" s="248"/>
      <c r="B81" s="248"/>
      <c r="C81" s="248"/>
      <c r="D81" s="248"/>
      <c r="E81" s="248"/>
      <c r="F81" s="248"/>
      <c r="G81" s="248"/>
      <c r="H81" s="248"/>
      <c r="I81" s="248"/>
    </row>
    <row r="82" spans="1:47" x14ac:dyDescent="0.2">
      <c r="A82" s="248"/>
      <c r="B82" s="248"/>
      <c r="C82" s="248"/>
      <c r="D82" s="248"/>
      <c r="E82" s="248"/>
      <c r="F82" s="248"/>
      <c r="G82" s="248"/>
      <c r="H82" s="248"/>
      <c r="I82" s="248"/>
    </row>
    <row r="83" spans="1:47" ht="12.75" customHeight="1" x14ac:dyDescent="0.2">
      <c r="A83" s="247"/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72"/>
      <c r="P83" s="72"/>
      <c r="U83" s="72"/>
      <c r="V83" s="72"/>
      <c r="Z83" s="72"/>
      <c r="AA83" s="72"/>
      <c r="AE83" s="72"/>
      <c r="AF83" s="72"/>
      <c r="AK83" s="72"/>
      <c r="AL83" s="72"/>
      <c r="AP83" s="72"/>
      <c r="AQ83" s="72"/>
      <c r="AU83" s="72"/>
    </row>
    <row r="84" spans="1:47" ht="12.75" customHeight="1" x14ac:dyDescent="0.2">
      <c r="A84" s="247"/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72"/>
      <c r="P84" s="72"/>
      <c r="U84" s="72"/>
      <c r="V84" s="72"/>
      <c r="Z84" s="72"/>
      <c r="AA84" s="72"/>
      <c r="AE84" s="72"/>
      <c r="AF84" s="72"/>
      <c r="AK84" s="72"/>
      <c r="AL84" s="72"/>
      <c r="AP84" s="72"/>
      <c r="AQ84" s="72"/>
      <c r="AU84" s="72"/>
    </row>
  </sheetData>
  <mergeCells count="20">
    <mergeCell ref="A83:N83"/>
    <mergeCell ref="A81:I81"/>
    <mergeCell ref="A84:N84"/>
    <mergeCell ref="A82:I82"/>
    <mergeCell ref="AG78:AH78"/>
    <mergeCell ref="A3:A4"/>
    <mergeCell ref="A78:B78"/>
    <mergeCell ref="Q3:Q4"/>
    <mergeCell ref="Q78:R78"/>
    <mergeCell ref="AG3:AG4"/>
    <mergeCell ref="G2:K2"/>
    <mergeCell ref="B2:F2"/>
    <mergeCell ref="L2:P2"/>
    <mergeCell ref="S78:V78"/>
    <mergeCell ref="AR2:AW2"/>
    <mergeCell ref="AM2:AQ2"/>
    <mergeCell ref="AH2:AL2"/>
    <mergeCell ref="AB2:AF2"/>
    <mergeCell ref="W2:AA2"/>
    <mergeCell ref="R2:V2"/>
  </mergeCells>
  <phoneticPr fontId="11" type="noConversion"/>
  <pageMargins left="1.25" right="0.78740157499999996" top="0.984251969" bottom="0.984251969" header="0.4921259845" footer="0.4921259845"/>
  <pageSetup scale="59" fitToWidth="5" orientation="portrait" r:id="rId1"/>
  <headerFooter alignWithMargins="0">
    <oddHeader xml:space="preserve">&amp;C&amp;14  
Accumulation 
Degrés-jours base 10
Saisons 2010-2012
&amp;10
</oddHeader>
    <oddFooter>&amp;C  VIGNE&amp;R&amp;P</oddFooter>
  </headerFooter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opLeftCell="A18" workbookViewId="0">
      <selection activeCell="A33" sqref="A33:A52"/>
    </sheetView>
  </sheetViews>
  <sheetFormatPr baseColWidth="10" defaultRowHeight="12.75" x14ac:dyDescent="0.2"/>
  <cols>
    <col min="1" max="1" width="23.140625" customWidth="1"/>
    <col min="2" max="2" width="15.140625" customWidth="1"/>
    <col min="3" max="19" width="13.140625" style="1" customWidth="1"/>
  </cols>
  <sheetData>
    <row r="1" spans="1:19" ht="23.25" x14ac:dyDescent="0.35">
      <c r="A1" s="2">
        <v>2010</v>
      </c>
      <c r="B1" s="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">
      <c r="A2" s="4"/>
      <c r="B2" s="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8" x14ac:dyDescent="0.3">
      <c r="A3" s="5"/>
      <c r="B3" s="5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">
      <c r="A4" s="6"/>
      <c r="B4" s="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5" x14ac:dyDescent="0.2">
      <c r="A5" s="7"/>
      <c r="B5" s="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5" customHeight="1" x14ac:dyDescent="0.3">
      <c r="A6" s="249" t="s">
        <v>1117</v>
      </c>
      <c r="B6" s="249"/>
      <c r="C6" s="249"/>
      <c r="D6" s="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 customHeight="1" thickBot="1" x14ac:dyDescent="0.35">
      <c r="A7" s="249"/>
      <c r="B7" s="249"/>
      <c r="C7" s="249"/>
      <c r="D7" s="8"/>
      <c r="E7" s="14"/>
      <c r="F7" s="14"/>
      <c r="G7" s="14"/>
      <c r="H7" s="14"/>
      <c r="I7" s="14"/>
      <c r="J7" s="259"/>
      <c r="K7" s="259"/>
      <c r="L7" s="14"/>
      <c r="M7" s="14"/>
      <c r="N7" s="14"/>
      <c r="O7" s="14"/>
      <c r="P7" s="14"/>
      <c r="Q7" s="14"/>
      <c r="R7" s="14"/>
      <c r="S7" s="14"/>
    </row>
    <row r="8" spans="1:19" ht="16.5" x14ac:dyDescent="0.2">
      <c r="A8" s="254" t="s">
        <v>1118</v>
      </c>
      <c r="B8" s="255" t="s">
        <v>1119</v>
      </c>
      <c r="C8" s="256"/>
      <c r="D8" s="255" t="s">
        <v>1119</v>
      </c>
      <c r="E8" s="260"/>
      <c r="F8" s="255" t="s">
        <v>1119</v>
      </c>
      <c r="G8" s="256"/>
      <c r="H8" s="255" t="s">
        <v>1119</v>
      </c>
      <c r="I8" s="256"/>
      <c r="J8" s="255" t="s">
        <v>1119</v>
      </c>
      <c r="K8" s="256"/>
      <c r="L8" s="255" t="s">
        <v>1119</v>
      </c>
      <c r="M8" s="256"/>
      <c r="N8" s="255" t="s">
        <v>1119</v>
      </c>
      <c r="O8" s="260"/>
      <c r="P8" s="255" t="s">
        <v>1119</v>
      </c>
      <c r="Q8" s="256"/>
      <c r="R8" s="255" t="s">
        <v>1119</v>
      </c>
      <c r="S8" s="256"/>
    </row>
    <row r="9" spans="1:19" ht="13.5" customHeight="1" x14ac:dyDescent="0.2">
      <c r="A9" s="254"/>
      <c r="B9" s="257" t="s">
        <v>1122</v>
      </c>
      <c r="C9" s="258"/>
      <c r="D9" s="257" t="s">
        <v>1107</v>
      </c>
      <c r="E9" s="261"/>
      <c r="F9" s="257" t="s">
        <v>1108</v>
      </c>
      <c r="G9" s="258"/>
      <c r="H9" s="257" t="s">
        <v>1109</v>
      </c>
      <c r="I9" s="258"/>
      <c r="J9" s="257" t="s">
        <v>1110</v>
      </c>
      <c r="K9" s="258"/>
      <c r="L9" s="257" t="s">
        <v>1111</v>
      </c>
      <c r="M9" s="258"/>
      <c r="N9" s="257" t="s">
        <v>1112</v>
      </c>
      <c r="O9" s="261"/>
      <c r="P9" s="257" t="s">
        <v>1113</v>
      </c>
      <c r="Q9" s="258"/>
      <c r="R9" s="257" t="s">
        <v>1114</v>
      </c>
      <c r="S9" s="258"/>
    </row>
    <row r="10" spans="1:19" ht="16.5" x14ac:dyDescent="0.2">
      <c r="A10" s="9" t="s">
        <v>1120</v>
      </c>
      <c r="B10" s="53"/>
      <c r="C10" s="20"/>
      <c r="D10" s="18"/>
      <c r="E10" s="19"/>
      <c r="F10" s="18"/>
      <c r="G10" s="20"/>
      <c r="H10" s="18"/>
      <c r="I10" s="20"/>
      <c r="J10" s="18"/>
      <c r="K10" s="20"/>
      <c r="L10" s="18"/>
      <c r="M10" s="20"/>
      <c r="N10" s="18"/>
      <c r="O10" s="19"/>
      <c r="P10" s="18"/>
      <c r="Q10" s="20"/>
      <c r="R10" s="18"/>
      <c r="S10" s="20"/>
    </row>
    <row r="11" spans="1:19" ht="15" x14ac:dyDescent="0.2">
      <c r="A11" s="10" t="s">
        <v>1121</v>
      </c>
      <c r="B11" s="55"/>
      <c r="C11" s="23" t="s">
        <v>880</v>
      </c>
      <c r="D11" s="21"/>
      <c r="E11" s="22" t="s">
        <v>881</v>
      </c>
      <c r="F11" s="21"/>
      <c r="G11" s="23" t="s">
        <v>882</v>
      </c>
      <c r="H11" s="21"/>
      <c r="I11" s="23" t="s">
        <v>883</v>
      </c>
      <c r="J11" s="21"/>
      <c r="K11" s="23" t="s">
        <v>884</v>
      </c>
      <c r="L11" s="21"/>
      <c r="M11" s="23" t="s">
        <v>885</v>
      </c>
      <c r="N11" s="21"/>
      <c r="O11" s="22" t="s">
        <v>886</v>
      </c>
      <c r="P11" s="21"/>
      <c r="Q11" s="23" t="s">
        <v>887</v>
      </c>
      <c r="R11" s="21"/>
      <c r="S11" s="23" t="s">
        <v>887</v>
      </c>
    </row>
    <row r="12" spans="1:19" ht="16.5" x14ac:dyDescent="0.2">
      <c r="A12" s="9" t="s">
        <v>1123</v>
      </c>
      <c r="B12" s="53"/>
      <c r="C12" s="54"/>
      <c r="D12" s="53"/>
      <c r="E12" s="19"/>
      <c r="F12" s="18"/>
      <c r="G12" s="20"/>
      <c r="H12" s="18"/>
      <c r="I12" s="20"/>
      <c r="J12" s="18"/>
      <c r="K12" s="20"/>
      <c r="L12" s="18"/>
      <c r="M12" s="20"/>
      <c r="N12" s="18"/>
      <c r="O12" s="19"/>
      <c r="P12" s="18"/>
      <c r="Q12" s="20"/>
      <c r="R12" s="18"/>
      <c r="S12" s="20"/>
    </row>
    <row r="13" spans="1:19" ht="15" x14ac:dyDescent="0.2">
      <c r="A13" s="10" t="s">
        <v>1124</v>
      </c>
      <c r="B13" s="55"/>
      <c r="C13" s="23" t="s">
        <v>880</v>
      </c>
      <c r="D13" s="21"/>
      <c r="E13" s="22" t="s">
        <v>888</v>
      </c>
      <c r="F13" s="21"/>
      <c r="G13" s="23" t="s">
        <v>889</v>
      </c>
      <c r="H13" s="21"/>
      <c r="I13" s="23" t="s">
        <v>890</v>
      </c>
      <c r="J13" s="21"/>
      <c r="K13" s="23" t="s">
        <v>891</v>
      </c>
      <c r="L13" s="21"/>
      <c r="M13" s="23" t="s">
        <v>892</v>
      </c>
      <c r="N13" s="21"/>
      <c r="O13" s="22" t="s">
        <v>893</v>
      </c>
      <c r="P13" s="21"/>
      <c r="Q13" s="23" t="s">
        <v>894</v>
      </c>
      <c r="R13" s="21"/>
      <c r="S13" s="23" t="s">
        <v>894</v>
      </c>
    </row>
    <row r="14" spans="1:19" ht="15" x14ac:dyDescent="0.2">
      <c r="A14" s="10" t="s">
        <v>1125</v>
      </c>
      <c r="B14" s="55"/>
      <c r="C14" s="23" t="s">
        <v>880</v>
      </c>
      <c r="D14" s="21"/>
      <c r="E14" s="22" t="s">
        <v>895</v>
      </c>
      <c r="F14" s="21"/>
      <c r="G14" s="23" t="s">
        <v>896</v>
      </c>
      <c r="H14" s="21"/>
      <c r="I14" s="23" t="s">
        <v>897</v>
      </c>
      <c r="J14" s="21"/>
      <c r="K14" s="23" t="s">
        <v>898</v>
      </c>
      <c r="L14" s="21"/>
      <c r="M14" s="23" t="s">
        <v>899</v>
      </c>
      <c r="N14" s="21"/>
      <c r="O14" s="22" t="s">
        <v>900</v>
      </c>
      <c r="P14" s="21"/>
      <c r="Q14" s="23" t="s">
        <v>901</v>
      </c>
      <c r="R14" s="21"/>
      <c r="S14" s="23" t="s">
        <v>901</v>
      </c>
    </row>
    <row r="15" spans="1:19" ht="15" x14ac:dyDescent="0.2">
      <c r="A15" s="10" t="s">
        <v>902</v>
      </c>
      <c r="B15" s="55"/>
      <c r="C15" s="23" t="s">
        <v>880</v>
      </c>
      <c r="D15" s="21"/>
      <c r="E15" s="22" t="s">
        <v>903</v>
      </c>
      <c r="F15" s="21"/>
      <c r="G15" s="23" t="s">
        <v>904</v>
      </c>
      <c r="H15" s="21"/>
      <c r="I15" s="23" t="s">
        <v>905</v>
      </c>
      <c r="J15" s="21"/>
      <c r="K15" s="23" t="s">
        <v>906</v>
      </c>
      <c r="L15" s="21"/>
      <c r="M15" s="23" t="s">
        <v>907</v>
      </c>
      <c r="N15" s="21"/>
      <c r="O15" s="22" t="s">
        <v>908</v>
      </c>
      <c r="P15" s="21"/>
      <c r="Q15" s="23" t="s">
        <v>909</v>
      </c>
      <c r="R15" s="21"/>
      <c r="S15" s="23" t="s">
        <v>909</v>
      </c>
    </row>
    <row r="16" spans="1:19" ht="16.5" x14ac:dyDescent="0.2">
      <c r="A16" s="9" t="s">
        <v>1126</v>
      </c>
      <c r="B16" s="53"/>
      <c r="C16" s="54"/>
      <c r="D16" s="53"/>
      <c r="E16" s="19"/>
      <c r="F16" s="18"/>
      <c r="G16" s="20"/>
      <c r="H16" s="18"/>
      <c r="I16" s="20"/>
      <c r="J16" s="18"/>
      <c r="K16" s="20"/>
      <c r="L16" s="18"/>
      <c r="M16" s="20"/>
      <c r="N16" s="18"/>
      <c r="O16" s="19"/>
      <c r="P16" s="18"/>
      <c r="Q16" s="20"/>
      <c r="R16" s="18"/>
      <c r="S16" s="20"/>
    </row>
    <row r="17" spans="1:19" ht="15" x14ac:dyDescent="0.2">
      <c r="A17" s="10" t="s">
        <v>1127</v>
      </c>
      <c r="B17" s="55"/>
      <c r="C17" s="23" t="s">
        <v>880</v>
      </c>
      <c r="D17" s="21"/>
      <c r="E17" s="22" t="s">
        <v>910</v>
      </c>
      <c r="F17" s="21"/>
      <c r="G17" s="23" t="s">
        <v>911</v>
      </c>
      <c r="H17" s="21"/>
      <c r="I17" s="23" t="s">
        <v>912</v>
      </c>
      <c r="J17" s="21"/>
      <c r="K17" s="23" t="s">
        <v>913</v>
      </c>
      <c r="L17" s="21"/>
      <c r="M17" s="23" t="s">
        <v>914</v>
      </c>
      <c r="N17" s="21"/>
      <c r="O17" s="22" t="s">
        <v>915</v>
      </c>
      <c r="P17" s="21"/>
      <c r="Q17" s="23" t="s">
        <v>916</v>
      </c>
      <c r="R17" s="21"/>
      <c r="S17" s="23" t="s">
        <v>916</v>
      </c>
    </row>
    <row r="18" spans="1:19" ht="15" x14ac:dyDescent="0.2">
      <c r="A18" s="10" t="s">
        <v>1128</v>
      </c>
      <c r="B18" s="55"/>
      <c r="C18" s="23" t="s">
        <v>880</v>
      </c>
      <c r="D18" s="21"/>
      <c r="E18" s="22" t="s">
        <v>917</v>
      </c>
      <c r="F18" s="21"/>
      <c r="G18" s="23" t="s">
        <v>918</v>
      </c>
      <c r="H18" s="21"/>
      <c r="I18" s="23" t="s">
        <v>919</v>
      </c>
      <c r="J18" s="21"/>
      <c r="K18" s="23" t="s">
        <v>920</v>
      </c>
      <c r="L18" s="21"/>
      <c r="M18" s="23" t="s">
        <v>921</v>
      </c>
      <c r="N18" s="21"/>
      <c r="O18" s="22" t="s">
        <v>922</v>
      </c>
      <c r="P18" s="21"/>
      <c r="Q18" s="23" t="s">
        <v>923</v>
      </c>
      <c r="R18" s="21"/>
      <c r="S18" s="23" t="s">
        <v>923</v>
      </c>
    </row>
    <row r="19" spans="1:19" ht="16.5" x14ac:dyDescent="0.2">
      <c r="A19" s="9" t="s">
        <v>1129</v>
      </c>
      <c r="B19" s="53"/>
      <c r="C19" s="54"/>
      <c r="D19" s="53"/>
      <c r="E19" s="19"/>
      <c r="F19" s="18"/>
      <c r="G19" s="20"/>
      <c r="H19" s="18"/>
      <c r="I19" s="20"/>
      <c r="J19" s="18"/>
      <c r="K19" s="20"/>
      <c r="L19" s="18"/>
      <c r="M19" s="20"/>
      <c r="N19" s="18"/>
      <c r="O19" s="19"/>
      <c r="P19" s="18"/>
      <c r="Q19" s="20"/>
      <c r="R19" s="18"/>
      <c r="S19" s="20"/>
    </row>
    <row r="20" spans="1:19" ht="15" x14ac:dyDescent="0.2">
      <c r="A20" s="10" t="s">
        <v>1130</v>
      </c>
      <c r="B20" s="55"/>
      <c r="C20" s="23" t="s">
        <v>880</v>
      </c>
      <c r="D20" s="21"/>
      <c r="E20" s="22" t="s">
        <v>924</v>
      </c>
      <c r="F20" s="21"/>
      <c r="G20" s="23" t="s">
        <v>925</v>
      </c>
      <c r="H20" s="21"/>
      <c r="I20" s="23" t="s">
        <v>926</v>
      </c>
      <c r="J20" s="21"/>
      <c r="K20" s="23" t="s">
        <v>927</v>
      </c>
      <c r="L20" s="21"/>
      <c r="M20" s="23" t="s">
        <v>928</v>
      </c>
      <c r="N20" s="21"/>
      <c r="O20" s="22" t="s">
        <v>929</v>
      </c>
      <c r="P20" s="21"/>
      <c r="Q20" s="23" t="s">
        <v>930</v>
      </c>
      <c r="R20" s="21"/>
      <c r="S20" s="23" t="s">
        <v>930</v>
      </c>
    </row>
    <row r="21" spans="1:19" ht="15" x14ac:dyDescent="0.2">
      <c r="A21" s="10" t="s">
        <v>1131</v>
      </c>
      <c r="B21" s="55"/>
      <c r="C21" s="23" t="s">
        <v>880</v>
      </c>
      <c r="D21" s="21"/>
      <c r="E21" s="22" t="s">
        <v>931</v>
      </c>
      <c r="F21" s="21"/>
      <c r="G21" s="23" t="s">
        <v>932</v>
      </c>
      <c r="H21" s="21"/>
      <c r="I21" s="23" t="s">
        <v>933</v>
      </c>
      <c r="J21" s="21"/>
      <c r="K21" s="23" t="s">
        <v>934</v>
      </c>
      <c r="L21" s="21"/>
      <c r="M21" s="23" t="s">
        <v>935</v>
      </c>
      <c r="N21" s="21"/>
      <c r="O21" s="22" t="s">
        <v>936</v>
      </c>
      <c r="P21" s="21"/>
      <c r="Q21" s="23" t="s">
        <v>937</v>
      </c>
      <c r="R21" s="21"/>
      <c r="S21" s="23" t="s">
        <v>937</v>
      </c>
    </row>
    <row r="22" spans="1:19" ht="16.5" x14ac:dyDescent="0.2">
      <c r="A22" s="9" t="s">
        <v>1132</v>
      </c>
      <c r="B22" s="53"/>
      <c r="C22" s="54"/>
      <c r="D22" s="53"/>
      <c r="E22" s="19"/>
      <c r="F22" s="18"/>
      <c r="G22" s="20"/>
      <c r="H22" s="18"/>
      <c r="I22" s="20"/>
      <c r="J22" s="18"/>
      <c r="K22" s="20"/>
      <c r="L22" s="18"/>
      <c r="M22" s="20"/>
      <c r="N22" s="18"/>
      <c r="O22" s="19"/>
      <c r="P22" s="18"/>
      <c r="Q22" s="20"/>
      <c r="R22" s="18"/>
      <c r="S22" s="20"/>
    </row>
    <row r="23" spans="1:19" ht="15" x14ac:dyDescent="0.2">
      <c r="A23" s="10" t="s">
        <v>1133</v>
      </c>
      <c r="B23" s="55"/>
      <c r="C23" s="23" t="s">
        <v>880</v>
      </c>
      <c r="D23" s="21"/>
      <c r="E23" s="22" t="s">
        <v>938</v>
      </c>
      <c r="F23" s="21"/>
      <c r="G23" s="23" t="s">
        <v>939</v>
      </c>
      <c r="H23" s="21"/>
      <c r="I23" s="23" t="s">
        <v>940</v>
      </c>
      <c r="J23" s="21"/>
      <c r="K23" s="23" t="s">
        <v>941</v>
      </c>
      <c r="L23" s="21"/>
      <c r="M23" s="23" t="s">
        <v>942</v>
      </c>
      <c r="N23" s="21"/>
      <c r="O23" s="22" t="s">
        <v>943</v>
      </c>
      <c r="P23" s="21"/>
      <c r="Q23" s="23" t="s">
        <v>944</v>
      </c>
      <c r="R23" s="21"/>
      <c r="S23" s="23" t="s">
        <v>944</v>
      </c>
    </row>
    <row r="24" spans="1:19" ht="15" x14ac:dyDescent="0.2">
      <c r="A24" s="10" t="s">
        <v>1134</v>
      </c>
      <c r="B24" s="55"/>
      <c r="C24" s="23" t="s">
        <v>880</v>
      </c>
      <c r="D24" s="21"/>
      <c r="E24" s="22" t="s">
        <v>945</v>
      </c>
      <c r="F24" s="21"/>
      <c r="G24" s="23" t="s">
        <v>946</v>
      </c>
      <c r="H24" s="21"/>
      <c r="I24" s="23" t="s">
        <v>947</v>
      </c>
      <c r="J24" s="21"/>
      <c r="K24" s="23" t="s">
        <v>948</v>
      </c>
      <c r="L24" s="21"/>
      <c r="M24" s="23" t="s">
        <v>949</v>
      </c>
      <c r="N24" s="21"/>
      <c r="O24" s="22" t="s">
        <v>950</v>
      </c>
      <c r="P24" s="21"/>
      <c r="Q24" s="23" t="s">
        <v>951</v>
      </c>
      <c r="R24" s="21"/>
      <c r="S24" s="23" t="s">
        <v>951</v>
      </c>
    </row>
    <row r="25" spans="1:19" ht="15" x14ac:dyDescent="0.2">
      <c r="A25" s="10" t="s">
        <v>1135</v>
      </c>
      <c r="B25" s="55"/>
      <c r="C25" s="23" t="s">
        <v>880</v>
      </c>
      <c r="D25" s="21"/>
      <c r="E25" s="22" t="s">
        <v>952</v>
      </c>
      <c r="F25" s="21"/>
      <c r="G25" s="23" t="s">
        <v>953</v>
      </c>
      <c r="H25" s="21"/>
      <c r="I25" s="23" t="s">
        <v>954</v>
      </c>
      <c r="J25" s="21"/>
      <c r="K25" s="23" t="s">
        <v>955</v>
      </c>
      <c r="L25" s="21"/>
      <c r="M25" s="23" t="s">
        <v>956</v>
      </c>
      <c r="N25" s="21"/>
      <c r="O25" s="22" t="s">
        <v>957</v>
      </c>
      <c r="P25" s="21"/>
      <c r="Q25" s="23" t="s">
        <v>958</v>
      </c>
      <c r="R25" s="21"/>
      <c r="S25" s="23" t="s">
        <v>958</v>
      </c>
    </row>
    <row r="26" spans="1:19" ht="16.5" x14ac:dyDescent="0.2">
      <c r="A26" s="9" t="s">
        <v>1136</v>
      </c>
      <c r="B26" s="53"/>
      <c r="C26" s="54"/>
      <c r="D26" s="53"/>
      <c r="E26" s="19"/>
      <c r="F26" s="18"/>
      <c r="G26" s="20"/>
      <c r="H26" s="18"/>
      <c r="I26" s="20"/>
      <c r="J26" s="18"/>
      <c r="K26" s="20"/>
      <c r="L26" s="18"/>
      <c r="M26" s="20"/>
      <c r="N26" s="18"/>
      <c r="O26" s="19"/>
      <c r="P26" s="18"/>
      <c r="Q26" s="20"/>
      <c r="R26" s="18"/>
      <c r="S26" s="20"/>
    </row>
    <row r="27" spans="1:19" ht="15" x14ac:dyDescent="0.2">
      <c r="A27" s="10" t="s">
        <v>1137</v>
      </c>
      <c r="B27" s="55"/>
      <c r="C27" s="23" t="s">
        <v>880</v>
      </c>
      <c r="D27" s="21"/>
      <c r="E27" s="22" t="s">
        <v>959</v>
      </c>
      <c r="F27" s="21"/>
      <c r="G27" s="23" t="s">
        <v>960</v>
      </c>
      <c r="H27" s="21"/>
      <c r="I27" s="23" t="s">
        <v>961</v>
      </c>
      <c r="J27" s="21"/>
      <c r="K27" s="23" t="s">
        <v>962</v>
      </c>
      <c r="L27" s="21"/>
      <c r="M27" s="23" t="s">
        <v>963</v>
      </c>
      <c r="N27" s="21"/>
      <c r="O27" s="22" t="s">
        <v>964</v>
      </c>
      <c r="P27" s="21"/>
      <c r="Q27" s="23" t="s">
        <v>965</v>
      </c>
      <c r="R27" s="21"/>
      <c r="S27" s="23" t="s">
        <v>965</v>
      </c>
    </row>
    <row r="28" spans="1:19" ht="15" x14ac:dyDescent="0.2">
      <c r="A28" s="10" t="s">
        <v>1138</v>
      </c>
      <c r="B28" s="55"/>
      <c r="C28" s="23" t="s">
        <v>880</v>
      </c>
      <c r="D28" s="21"/>
      <c r="E28" s="22" t="s">
        <v>966</v>
      </c>
      <c r="F28" s="21"/>
      <c r="G28" s="23" t="s">
        <v>967</v>
      </c>
      <c r="H28" s="21"/>
      <c r="I28" s="23" t="s">
        <v>968</v>
      </c>
      <c r="J28" s="21"/>
      <c r="K28" s="23" t="s">
        <v>969</v>
      </c>
      <c r="L28" s="21"/>
      <c r="M28" s="23" t="s">
        <v>970</v>
      </c>
      <c r="N28" s="21"/>
      <c r="O28" s="22" t="s">
        <v>971</v>
      </c>
      <c r="P28" s="21"/>
      <c r="Q28" s="23" t="s">
        <v>972</v>
      </c>
      <c r="R28" s="21"/>
      <c r="S28" s="23" t="s">
        <v>972</v>
      </c>
    </row>
    <row r="29" spans="1:19" ht="16.5" x14ac:dyDescent="0.2">
      <c r="A29" s="9" t="s">
        <v>1139</v>
      </c>
      <c r="B29" s="53"/>
      <c r="C29" s="54"/>
      <c r="D29" s="53"/>
      <c r="E29" s="19"/>
      <c r="F29" s="18"/>
      <c r="G29" s="20"/>
      <c r="H29" s="18"/>
      <c r="I29" s="20"/>
      <c r="J29" s="18"/>
      <c r="K29" s="20"/>
      <c r="L29" s="18"/>
      <c r="M29" s="20"/>
      <c r="N29" s="18"/>
      <c r="O29" s="19"/>
      <c r="P29" s="18"/>
      <c r="Q29" s="20"/>
      <c r="R29" s="18"/>
      <c r="S29" s="20"/>
    </row>
    <row r="30" spans="1:19" ht="15" x14ac:dyDescent="0.2">
      <c r="A30" s="10" t="s">
        <v>1140</v>
      </c>
      <c r="B30" s="55"/>
      <c r="C30" s="23" t="s">
        <v>880</v>
      </c>
      <c r="D30" s="21"/>
      <c r="E30" s="22" t="s">
        <v>924</v>
      </c>
      <c r="F30" s="21"/>
      <c r="G30" s="23" t="s">
        <v>973</v>
      </c>
      <c r="H30" s="21"/>
      <c r="I30" s="23" t="s">
        <v>974</v>
      </c>
      <c r="J30" s="21"/>
      <c r="K30" s="23" t="s">
        <v>975</v>
      </c>
      <c r="L30" s="21"/>
      <c r="M30" s="23" t="s">
        <v>976</v>
      </c>
      <c r="N30" s="21"/>
      <c r="O30" s="22" t="s">
        <v>977</v>
      </c>
      <c r="P30" s="21"/>
      <c r="Q30" s="23" t="s">
        <v>978</v>
      </c>
      <c r="R30" s="21"/>
      <c r="S30" s="23" t="s">
        <v>978</v>
      </c>
    </row>
    <row r="31" spans="1:19" ht="15" x14ac:dyDescent="0.2">
      <c r="A31" s="10" t="s">
        <v>1141</v>
      </c>
      <c r="B31" s="55"/>
      <c r="C31" s="23" t="s">
        <v>979</v>
      </c>
      <c r="D31" s="21"/>
      <c r="E31" s="22" t="s">
        <v>980</v>
      </c>
      <c r="F31" s="21"/>
      <c r="G31" s="23" t="s">
        <v>981</v>
      </c>
      <c r="H31" s="21"/>
      <c r="I31" s="23" t="s">
        <v>982</v>
      </c>
      <c r="J31" s="21"/>
      <c r="K31" s="23" t="s">
        <v>983</v>
      </c>
      <c r="L31" s="21"/>
      <c r="M31" s="23" t="s">
        <v>984</v>
      </c>
      <c r="N31" s="21"/>
      <c r="O31" s="22" t="s">
        <v>985</v>
      </c>
      <c r="P31" s="21"/>
      <c r="Q31" s="23" t="s">
        <v>986</v>
      </c>
      <c r="R31" s="21"/>
      <c r="S31" s="23" t="s">
        <v>986</v>
      </c>
    </row>
    <row r="32" spans="1:19" ht="15.75" thickBot="1" x14ac:dyDescent="0.25">
      <c r="A32" s="10" t="s">
        <v>1142</v>
      </c>
      <c r="B32" s="55"/>
      <c r="C32" s="23" t="s">
        <v>880</v>
      </c>
      <c r="D32" s="21"/>
      <c r="E32" s="22" t="s">
        <v>987</v>
      </c>
      <c r="F32" s="21"/>
      <c r="G32" s="23" t="s">
        <v>988</v>
      </c>
      <c r="H32" s="21"/>
      <c r="I32" s="23" t="s">
        <v>989</v>
      </c>
      <c r="J32" s="21"/>
      <c r="K32" s="23" t="s">
        <v>990</v>
      </c>
      <c r="L32" s="21"/>
      <c r="M32" s="23" t="s">
        <v>991</v>
      </c>
      <c r="N32" s="21"/>
      <c r="O32" s="22" t="s">
        <v>992</v>
      </c>
      <c r="P32" s="21"/>
      <c r="Q32" s="23" t="s">
        <v>993</v>
      </c>
      <c r="R32" s="83"/>
      <c r="S32" s="98" t="s">
        <v>993</v>
      </c>
    </row>
    <row r="33" spans="1:19" ht="16.5" x14ac:dyDescent="0.2">
      <c r="A33" s="51" t="s">
        <v>1341</v>
      </c>
      <c r="B33" s="51"/>
      <c r="C33" s="96"/>
      <c r="D33" s="88"/>
      <c r="E33" s="95"/>
      <c r="F33" s="88"/>
      <c r="G33" s="96"/>
      <c r="H33" s="88"/>
      <c r="I33" s="96"/>
      <c r="J33" s="88"/>
      <c r="K33" s="96"/>
      <c r="L33" s="88"/>
      <c r="M33" s="96"/>
      <c r="N33" s="88"/>
      <c r="O33" s="95"/>
      <c r="P33" s="88"/>
      <c r="Q33" s="96"/>
      <c r="R33" s="95"/>
      <c r="S33" s="96"/>
    </row>
    <row r="34" spans="1:19" ht="15" x14ac:dyDescent="0.2">
      <c r="A34" s="55" t="s">
        <v>1342</v>
      </c>
      <c r="B34" s="21">
        <v>0</v>
      </c>
      <c r="C34" s="49" t="s">
        <v>880</v>
      </c>
      <c r="D34" s="21">
        <v>12.2</v>
      </c>
      <c r="E34" s="10" t="s">
        <v>441</v>
      </c>
      <c r="F34" s="21">
        <v>162.19999999999999</v>
      </c>
      <c r="G34" s="10" t="s">
        <v>442</v>
      </c>
      <c r="H34" s="21">
        <v>383.9</v>
      </c>
      <c r="I34" s="10" t="s">
        <v>443</v>
      </c>
      <c r="J34" s="21">
        <v>744.5</v>
      </c>
      <c r="K34" s="10" t="s">
        <v>444</v>
      </c>
      <c r="L34" s="21">
        <v>1039.7</v>
      </c>
      <c r="M34" s="10" t="s">
        <v>445</v>
      </c>
      <c r="N34" s="21">
        <v>1200.3</v>
      </c>
      <c r="O34" s="10" t="s">
        <v>446</v>
      </c>
      <c r="P34" s="21">
        <v>1210.4000000000001</v>
      </c>
      <c r="Q34" s="10" t="s">
        <v>447</v>
      </c>
      <c r="R34" s="21">
        <v>1210.4000000000001</v>
      </c>
      <c r="S34" s="10" t="s">
        <v>447</v>
      </c>
    </row>
    <row r="35" spans="1:19" ht="15" x14ac:dyDescent="0.2">
      <c r="A35" s="55" t="s">
        <v>1343</v>
      </c>
      <c r="B35" s="21">
        <v>0</v>
      </c>
      <c r="C35" s="49" t="s">
        <v>880</v>
      </c>
      <c r="D35" s="21">
        <v>20.2</v>
      </c>
      <c r="E35" s="10" t="s">
        <v>855</v>
      </c>
      <c r="F35" s="21">
        <v>189.9</v>
      </c>
      <c r="G35" s="10" t="s">
        <v>448</v>
      </c>
      <c r="H35" s="21">
        <v>424.1</v>
      </c>
      <c r="I35" s="10" t="s">
        <v>449</v>
      </c>
      <c r="J35" s="21">
        <v>793.7</v>
      </c>
      <c r="K35" s="10" t="s">
        <v>450</v>
      </c>
      <c r="L35" s="21">
        <v>1097.2</v>
      </c>
      <c r="M35" s="10" t="s">
        <v>451</v>
      </c>
      <c r="N35" s="21">
        <v>1250.5</v>
      </c>
      <c r="O35" s="10" t="s">
        <v>452</v>
      </c>
      <c r="P35" s="21">
        <v>1263.4000000000001</v>
      </c>
      <c r="Q35" s="10" t="s">
        <v>453</v>
      </c>
      <c r="R35" s="21">
        <v>1263.4000000000001</v>
      </c>
      <c r="S35" s="10" t="s">
        <v>453</v>
      </c>
    </row>
    <row r="36" spans="1:19" ht="15" x14ac:dyDescent="0.2">
      <c r="A36" s="55"/>
      <c r="B36" s="21"/>
      <c r="C36" s="49"/>
      <c r="D36" s="21"/>
      <c r="E36" s="10"/>
      <c r="F36" s="21"/>
      <c r="G36" s="10"/>
      <c r="H36" s="21"/>
      <c r="I36" s="10"/>
      <c r="J36" s="21"/>
      <c r="K36" s="10"/>
      <c r="L36" s="21"/>
      <c r="M36" s="10"/>
      <c r="N36" s="21"/>
      <c r="O36" s="10"/>
      <c r="P36" s="21"/>
      <c r="Q36" s="10"/>
      <c r="R36" s="21"/>
      <c r="S36" s="10"/>
    </row>
    <row r="37" spans="1:19" ht="15" x14ac:dyDescent="0.2">
      <c r="A37" s="55" t="s">
        <v>1344</v>
      </c>
      <c r="B37" s="21">
        <v>0</v>
      </c>
      <c r="C37" s="49" t="s">
        <v>880</v>
      </c>
      <c r="D37" s="21">
        <v>3.6</v>
      </c>
      <c r="E37" s="10" t="s">
        <v>454</v>
      </c>
      <c r="F37" s="21">
        <v>119.3</v>
      </c>
      <c r="G37" s="10" t="s">
        <v>455</v>
      </c>
      <c r="H37" s="21">
        <v>298.2</v>
      </c>
      <c r="I37" s="10" t="s">
        <v>456</v>
      </c>
      <c r="J37" s="21">
        <v>636.20000000000005</v>
      </c>
      <c r="K37" s="10" t="s">
        <v>457</v>
      </c>
      <c r="L37" s="21">
        <v>900.7</v>
      </c>
      <c r="M37" s="10" t="s">
        <v>458</v>
      </c>
      <c r="N37" s="21">
        <v>1025.0999999999999</v>
      </c>
      <c r="O37" s="10" t="s">
        <v>459</v>
      </c>
      <c r="P37" s="21">
        <v>1032.4000000000001</v>
      </c>
      <c r="Q37" s="10" t="s">
        <v>460</v>
      </c>
      <c r="R37" s="21">
        <v>1032.4000000000001</v>
      </c>
      <c r="S37" s="10" t="s">
        <v>460</v>
      </c>
    </row>
    <row r="38" spans="1:19" ht="15" x14ac:dyDescent="0.2">
      <c r="A38" s="55" t="s">
        <v>1345</v>
      </c>
      <c r="B38" s="21">
        <v>0</v>
      </c>
      <c r="C38" s="49" t="s">
        <v>880</v>
      </c>
      <c r="D38" s="21">
        <v>0.8</v>
      </c>
      <c r="E38" s="10" t="s">
        <v>461</v>
      </c>
      <c r="F38" s="21">
        <v>106</v>
      </c>
      <c r="G38" s="10" t="s">
        <v>462</v>
      </c>
      <c r="H38" s="21">
        <v>277</v>
      </c>
      <c r="I38" s="10" t="s">
        <v>463</v>
      </c>
      <c r="J38" s="21">
        <v>600.4</v>
      </c>
      <c r="K38" s="10" t="s">
        <v>464</v>
      </c>
      <c r="L38" s="21">
        <v>859.6</v>
      </c>
      <c r="M38" s="10" t="s">
        <v>465</v>
      </c>
      <c r="N38" s="21">
        <v>985.5</v>
      </c>
      <c r="O38" s="10" t="s">
        <v>466</v>
      </c>
      <c r="P38" s="21">
        <v>991.5</v>
      </c>
      <c r="Q38" s="10" t="s">
        <v>467</v>
      </c>
      <c r="R38" s="21">
        <v>991.5</v>
      </c>
      <c r="S38" s="10" t="s">
        <v>467</v>
      </c>
    </row>
    <row r="39" spans="1:19" ht="15" x14ac:dyDescent="0.2">
      <c r="A39" s="55" t="s">
        <v>1346</v>
      </c>
      <c r="B39" s="21">
        <v>0</v>
      </c>
      <c r="C39" s="49" t="s">
        <v>880</v>
      </c>
      <c r="D39" s="21">
        <v>4.8</v>
      </c>
      <c r="E39" s="10" t="s">
        <v>468</v>
      </c>
      <c r="F39" s="21">
        <v>122.3</v>
      </c>
      <c r="G39" s="10" t="s">
        <v>469</v>
      </c>
      <c r="H39" s="21">
        <v>294.89999999999998</v>
      </c>
      <c r="I39" s="10" t="s">
        <v>470</v>
      </c>
      <c r="J39" s="21">
        <v>631.79999999999995</v>
      </c>
      <c r="K39" s="10" t="s">
        <v>471</v>
      </c>
      <c r="L39" s="21">
        <v>896.8</v>
      </c>
      <c r="M39" s="10" t="s">
        <v>472</v>
      </c>
      <c r="N39" s="21">
        <v>1006.3</v>
      </c>
      <c r="O39" s="10" t="s">
        <v>473</v>
      </c>
      <c r="P39" s="21">
        <v>1013.2</v>
      </c>
      <c r="Q39" s="10" t="s">
        <v>474</v>
      </c>
      <c r="R39" s="21">
        <v>1013.2</v>
      </c>
      <c r="S39" s="10" t="s">
        <v>474</v>
      </c>
    </row>
    <row r="40" spans="1:19" ht="15" x14ac:dyDescent="0.2">
      <c r="A40" s="55"/>
      <c r="B40" s="21"/>
      <c r="C40" s="49"/>
      <c r="D40" s="21"/>
      <c r="E40" s="10"/>
      <c r="F40" s="21"/>
      <c r="G40" s="10"/>
      <c r="H40" s="21"/>
      <c r="I40" s="10"/>
      <c r="J40" s="21"/>
      <c r="K40" s="10"/>
      <c r="L40" s="21"/>
      <c r="M40" s="10"/>
      <c r="N40" s="21"/>
      <c r="O40" s="10"/>
      <c r="P40" s="21"/>
      <c r="Q40" s="10"/>
      <c r="R40" s="21"/>
      <c r="S40" s="10"/>
    </row>
    <row r="41" spans="1:19" ht="15" x14ac:dyDescent="0.2">
      <c r="A41" s="55" t="s">
        <v>1347</v>
      </c>
      <c r="B41" s="21">
        <v>0</v>
      </c>
      <c r="C41" s="49" t="s">
        <v>880</v>
      </c>
      <c r="D41" s="21">
        <v>3</v>
      </c>
      <c r="E41" s="10" t="s">
        <v>475</v>
      </c>
      <c r="F41" s="21">
        <v>134.5</v>
      </c>
      <c r="G41" s="10" t="s">
        <v>476</v>
      </c>
      <c r="H41" s="21">
        <v>331.9</v>
      </c>
      <c r="I41" s="10" t="s">
        <v>477</v>
      </c>
      <c r="J41" s="21">
        <v>663.2</v>
      </c>
      <c r="K41" s="10" t="s">
        <v>478</v>
      </c>
      <c r="L41" s="21">
        <v>919.7</v>
      </c>
      <c r="M41" s="10" t="s">
        <v>479</v>
      </c>
      <c r="N41" s="21">
        <v>1050.9000000000001</v>
      </c>
      <c r="O41" s="10" t="s">
        <v>480</v>
      </c>
      <c r="P41" s="21">
        <v>1059.3</v>
      </c>
      <c r="Q41" s="10" t="s">
        <v>481</v>
      </c>
      <c r="R41" s="21">
        <v>1059.3</v>
      </c>
      <c r="S41" s="10" t="s">
        <v>481</v>
      </c>
    </row>
    <row r="42" spans="1:19" ht="15" x14ac:dyDescent="0.2">
      <c r="A42" s="55" t="s">
        <v>1348</v>
      </c>
      <c r="B42" s="21">
        <v>0</v>
      </c>
      <c r="C42" s="49" t="s">
        <v>880</v>
      </c>
      <c r="D42" s="21">
        <v>15.2</v>
      </c>
      <c r="E42" s="10" t="s">
        <v>482</v>
      </c>
      <c r="F42" s="21">
        <v>174.5</v>
      </c>
      <c r="G42" s="10" t="s">
        <v>483</v>
      </c>
      <c r="H42" s="21">
        <v>395.2</v>
      </c>
      <c r="I42" s="10" t="s">
        <v>484</v>
      </c>
      <c r="J42" s="21">
        <v>758.5</v>
      </c>
      <c r="K42" s="10" t="s">
        <v>485</v>
      </c>
      <c r="L42" s="21">
        <v>1059.3</v>
      </c>
      <c r="M42" s="10" t="s">
        <v>486</v>
      </c>
      <c r="N42" s="21">
        <v>1217.0999999999999</v>
      </c>
      <c r="O42" s="10" t="s">
        <v>487</v>
      </c>
      <c r="P42" s="21">
        <v>1229.2</v>
      </c>
      <c r="Q42" s="10" t="s">
        <v>488</v>
      </c>
      <c r="R42" s="21">
        <v>1229.2</v>
      </c>
      <c r="S42" s="10" t="s">
        <v>488</v>
      </c>
    </row>
    <row r="43" spans="1:19" ht="15" x14ac:dyDescent="0.2">
      <c r="A43" s="55" t="s">
        <v>1349</v>
      </c>
      <c r="B43" s="21">
        <v>0</v>
      </c>
      <c r="C43" s="49" t="s">
        <v>880</v>
      </c>
      <c r="D43" s="21">
        <v>2.2000000000000002</v>
      </c>
      <c r="E43" s="10" t="s">
        <v>489</v>
      </c>
      <c r="F43" s="21">
        <v>105</v>
      </c>
      <c r="G43" s="10" t="s">
        <v>490</v>
      </c>
      <c r="H43" s="21">
        <v>270.8</v>
      </c>
      <c r="I43" s="10" t="s">
        <v>491</v>
      </c>
      <c r="J43" s="21">
        <v>563.6</v>
      </c>
      <c r="K43" s="10" t="s">
        <v>492</v>
      </c>
      <c r="L43" s="21">
        <v>758.9</v>
      </c>
      <c r="M43" s="10" t="s">
        <v>493</v>
      </c>
      <c r="N43" s="21">
        <v>888.5</v>
      </c>
      <c r="O43" s="10" t="s">
        <v>494</v>
      </c>
      <c r="P43" s="21">
        <v>893.6</v>
      </c>
      <c r="Q43" s="10" t="s">
        <v>495</v>
      </c>
      <c r="R43" s="21">
        <v>893.6</v>
      </c>
      <c r="S43" s="10" t="s">
        <v>495</v>
      </c>
    </row>
    <row r="44" spans="1:19" ht="15" x14ac:dyDescent="0.2">
      <c r="A44" s="55" t="s">
        <v>1350</v>
      </c>
      <c r="B44" s="21">
        <v>0</v>
      </c>
      <c r="C44" s="49" t="s">
        <v>880</v>
      </c>
      <c r="D44" s="21">
        <v>2</v>
      </c>
      <c r="E44" s="10" t="s">
        <v>547</v>
      </c>
      <c r="F44" s="21">
        <v>144.19999999999999</v>
      </c>
      <c r="G44" s="10" t="s">
        <v>496</v>
      </c>
      <c r="H44" s="21">
        <v>351.5</v>
      </c>
      <c r="I44" s="10" t="s">
        <v>497</v>
      </c>
      <c r="J44" s="21">
        <v>690.4</v>
      </c>
      <c r="K44" s="10" t="s">
        <v>498</v>
      </c>
      <c r="L44" s="21">
        <v>948.3</v>
      </c>
      <c r="M44" s="10" t="s">
        <v>499</v>
      </c>
      <c r="N44" s="21">
        <v>1074.5999999999999</v>
      </c>
      <c r="O44" s="10" t="s">
        <v>500</v>
      </c>
      <c r="P44" s="21">
        <v>1083.9000000000001</v>
      </c>
      <c r="Q44" s="10" t="s">
        <v>501</v>
      </c>
      <c r="R44" s="21">
        <v>1083.9000000000001</v>
      </c>
      <c r="S44" s="10" t="s">
        <v>501</v>
      </c>
    </row>
    <row r="45" spans="1:19" ht="15" x14ac:dyDescent="0.2">
      <c r="A45" s="55" t="s">
        <v>1351</v>
      </c>
      <c r="B45" s="21">
        <v>0</v>
      </c>
      <c r="C45" s="49" t="s">
        <v>880</v>
      </c>
      <c r="D45" s="21">
        <v>10.3</v>
      </c>
      <c r="E45" s="10" t="s">
        <v>502</v>
      </c>
      <c r="F45" s="21">
        <v>142.80000000000001</v>
      </c>
      <c r="G45" s="10" t="s">
        <v>503</v>
      </c>
      <c r="H45" s="21">
        <v>306.7</v>
      </c>
      <c r="I45" s="10" t="s">
        <v>504</v>
      </c>
      <c r="J45" s="21">
        <v>614.29999999999995</v>
      </c>
      <c r="K45" s="10" t="s">
        <v>505</v>
      </c>
      <c r="L45" s="21">
        <v>860.6</v>
      </c>
      <c r="M45" s="10" t="s">
        <v>506</v>
      </c>
      <c r="N45" s="21">
        <v>956.9</v>
      </c>
      <c r="O45" s="10" t="s">
        <v>507</v>
      </c>
      <c r="P45" s="21">
        <v>960.1</v>
      </c>
      <c r="Q45" s="10" t="s">
        <v>508</v>
      </c>
      <c r="R45" s="21">
        <v>960.1</v>
      </c>
      <c r="S45" s="10" t="s">
        <v>508</v>
      </c>
    </row>
    <row r="46" spans="1:19" ht="15" x14ac:dyDescent="0.2">
      <c r="A46" s="55" t="s">
        <v>1352</v>
      </c>
      <c r="B46" s="21">
        <v>0</v>
      </c>
      <c r="C46" s="49" t="s">
        <v>880</v>
      </c>
      <c r="D46" s="21">
        <v>11.2</v>
      </c>
      <c r="E46" s="10" t="s">
        <v>509</v>
      </c>
      <c r="F46" s="21">
        <v>149.6</v>
      </c>
      <c r="G46" s="10" t="s">
        <v>510</v>
      </c>
      <c r="H46" s="21">
        <v>352.8</v>
      </c>
      <c r="I46" s="10" t="s">
        <v>511</v>
      </c>
      <c r="J46" s="21">
        <v>701</v>
      </c>
      <c r="K46" s="10" t="s">
        <v>512</v>
      </c>
      <c r="L46" s="21">
        <v>979.9</v>
      </c>
      <c r="M46" s="10" t="s">
        <v>513</v>
      </c>
      <c r="N46" s="21">
        <v>1129</v>
      </c>
      <c r="O46" s="10" t="s">
        <v>514</v>
      </c>
      <c r="P46" s="21">
        <v>1138.5999999999999</v>
      </c>
      <c r="Q46" s="10" t="s">
        <v>515</v>
      </c>
      <c r="R46" s="21">
        <v>1138.5999999999999</v>
      </c>
      <c r="S46" s="10" t="s">
        <v>515</v>
      </c>
    </row>
    <row r="47" spans="1:19" ht="15" x14ac:dyDescent="0.2">
      <c r="A47" s="55" t="s">
        <v>1353</v>
      </c>
      <c r="B47" s="21">
        <v>0</v>
      </c>
      <c r="C47" s="49" t="s">
        <v>880</v>
      </c>
      <c r="D47" s="21">
        <v>12.5</v>
      </c>
      <c r="E47" s="10" t="s">
        <v>516</v>
      </c>
      <c r="F47" s="21">
        <v>156.19999999999999</v>
      </c>
      <c r="G47" s="10" t="s">
        <v>517</v>
      </c>
      <c r="H47" s="21">
        <v>368.5</v>
      </c>
      <c r="I47" s="10" t="s">
        <v>518</v>
      </c>
      <c r="J47" s="21">
        <v>725.5</v>
      </c>
      <c r="K47" s="10" t="s">
        <v>519</v>
      </c>
      <c r="L47" s="21">
        <v>1012.7</v>
      </c>
      <c r="M47" s="10" t="s">
        <v>520</v>
      </c>
      <c r="N47" s="21">
        <v>1159.0999999999999</v>
      </c>
      <c r="O47" s="10" t="s">
        <v>521</v>
      </c>
      <c r="P47" s="21">
        <v>1168.8</v>
      </c>
      <c r="Q47" s="10" t="s">
        <v>522</v>
      </c>
      <c r="R47" s="21">
        <v>1168.8</v>
      </c>
      <c r="S47" s="10" t="s">
        <v>522</v>
      </c>
    </row>
    <row r="48" spans="1:19" ht="15" x14ac:dyDescent="0.2">
      <c r="A48" s="55" t="s">
        <v>1354</v>
      </c>
      <c r="B48" s="21">
        <v>0</v>
      </c>
      <c r="C48" s="49" t="s">
        <v>880</v>
      </c>
      <c r="D48" s="21">
        <v>11.5</v>
      </c>
      <c r="E48" s="10" t="s">
        <v>523</v>
      </c>
      <c r="F48" s="21">
        <v>157.19999999999999</v>
      </c>
      <c r="G48" s="10" t="s">
        <v>524</v>
      </c>
      <c r="H48" s="21">
        <v>361.4</v>
      </c>
      <c r="I48" s="10" t="s">
        <v>525</v>
      </c>
      <c r="J48" s="21">
        <v>712.5</v>
      </c>
      <c r="K48" s="10" t="s">
        <v>526</v>
      </c>
      <c r="L48" s="21">
        <v>994.6</v>
      </c>
      <c r="M48" s="10" t="s">
        <v>527</v>
      </c>
      <c r="N48" s="21">
        <v>1127.2</v>
      </c>
      <c r="O48" s="10" t="s">
        <v>528</v>
      </c>
      <c r="P48" s="21">
        <v>1133.4000000000001</v>
      </c>
      <c r="Q48" s="10" t="s">
        <v>529</v>
      </c>
      <c r="R48" s="21">
        <v>1133.4000000000001</v>
      </c>
      <c r="S48" s="10" t="s">
        <v>529</v>
      </c>
    </row>
    <row r="49" spans="1:19" ht="15" x14ac:dyDescent="0.2">
      <c r="A49" s="55"/>
      <c r="B49" s="21"/>
      <c r="C49" s="49"/>
      <c r="D49" s="21"/>
      <c r="E49" s="10"/>
      <c r="F49" s="21"/>
      <c r="G49" s="10"/>
      <c r="H49" s="21"/>
      <c r="I49" s="10"/>
      <c r="J49" s="21"/>
      <c r="K49" s="10"/>
      <c r="L49" s="21"/>
      <c r="M49" s="10"/>
      <c r="N49" s="21"/>
      <c r="O49" s="10"/>
      <c r="P49" s="21"/>
      <c r="Q49" s="10"/>
      <c r="R49" s="21"/>
      <c r="S49" s="10"/>
    </row>
    <row r="50" spans="1:19" ht="15" x14ac:dyDescent="0.2">
      <c r="A50" s="55"/>
      <c r="B50" s="21"/>
      <c r="C50" s="49"/>
      <c r="D50" s="21"/>
      <c r="E50" s="10"/>
      <c r="F50" s="21"/>
      <c r="G50" s="10"/>
      <c r="H50" s="21"/>
      <c r="I50" s="10"/>
      <c r="J50" s="21"/>
      <c r="K50" s="10"/>
      <c r="L50" s="21"/>
      <c r="M50" s="10"/>
      <c r="N50" s="21"/>
      <c r="O50" s="10"/>
      <c r="P50" s="21"/>
      <c r="Q50" s="10"/>
      <c r="R50" s="21"/>
      <c r="S50" s="10"/>
    </row>
    <row r="51" spans="1:19" ht="15" x14ac:dyDescent="0.2">
      <c r="A51" s="55" t="s">
        <v>1355</v>
      </c>
      <c r="B51" s="21">
        <v>0</v>
      </c>
      <c r="C51" s="49" t="s">
        <v>880</v>
      </c>
      <c r="D51" s="21">
        <v>11.8</v>
      </c>
      <c r="E51" s="10" t="s">
        <v>574</v>
      </c>
      <c r="F51" s="21">
        <v>173.8</v>
      </c>
      <c r="G51" s="10" t="s">
        <v>530</v>
      </c>
      <c r="H51" s="21">
        <v>416.3</v>
      </c>
      <c r="I51" s="10" t="s">
        <v>531</v>
      </c>
      <c r="J51" s="21">
        <v>800</v>
      </c>
      <c r="K51" s="10" t="s">
        <v>532</v>
      </c>
      <c r="L51" s="21">
        <v>1122</v>
      </c>
      <c r="M51" s="10" t="s">
        <v>533</v>
      </c>
      <c r="N51" s="21">
        <v>1298.8</v>
      </c>
      <c r="O51" s="10" t="s">
        <v>534</v>
      </c>
      <c r="P51" s="21">
        <v>1314.2</v>
      </c>
      <c r="Q51" s="10" t="s">
        <v>535</v>
      </c>
      <c r="R51" s="21">
        <v>1314.2</v>
      </c>
      <c r="S51" s="10" t="s">
        <v>535</v>
      </c>
    </row>
    <row r="52" spans="1:19" ht="15.75" thickBot="1" x14ac:dyDescent="0.25">
      <c r="A52" s="97" t="s">
        <v>440</v>
      </c>
      <c r="B52" s="97">
        <f>AVERAGE(B34:B51)</f>
        <v>0</v>
      </c>
      <c r="C52" s="97"/>
      <c r="D52" s="99">
        <f t="shared" ref="D52:R52" si="0">AVERAGE(D34:D51)</f>
        <v>8.6642857142857146</v>
      </c>
      <c r="E52" s="97"/>
      <c r="F52" s="99">
        <f t="shared" si="0"/>
        <v>145.53571428571428</v>
      </c>
      <c r="G52" s="97"/>
      <c r="H52" s="99">
        <f t="shared" si="0"/>
        <v>345.2285714285714</v>
      </c>
      <c r="I52" s="97"/>
      <c r="J52" s="99">
        <f t="shared" si="0"/>
        <v>688.25714285714287</v>
      </c>
      <c r="K52" s="97"/>
      <c r="L52" s="99">
        <f t="shared" si="0"/>
        <v>960.71428571428567</v>
      </c>
      <c r="M52" s="97"/>
      <c r="N52" s="99">
        <f t="shared" si="0"/>
        <v>1097.8428571428572</v>
      </c>
      <c r="O52" s="97"/>
      <c r="P52" s="99">
        <f t="shared" si="0"/>
        <v>1106.5714285714287</v>
      </c>
      <c r="Q52" s="97"/>
      <c r="R52" s="99">
        <f t="shared" si="0"/>
        <v>1106.5714285714287</v>
      </c>
      <c r="S52" s="97"/>
    </row>
    <row r="53" spans="1:19" ht="16.5" x14ac:dyDescent="0.2">
      <c r="A53" s="9" t="s">
        <v>1143</v>
      </c>
      <c r="B53" s="9"/>
      <c r="C53" s="9"/>
      <c r="D53" s="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5" x14ac:dyDescent="0.2">
      <c r="A54" s="10" t="s">
        <v>1144</v>
      </c>
      <c r="B54" s="10"/>
      <c r="C54" s="16" t="s">
        <v>880</v>
      </c>
      <c r="D54" s="16"/>
      <c r="E54" s="16" t="s">
        <v>945</v>
      </c>
      <c r="F54" s="16"/>
      <c r="G54" s="16" t="s">
        <v>994</v>
      </c>
      <c r="H54" s="16"/>
      <c r="I54" s="16" t="s">
        <v>995</v>
      </c>
      <c r="J54" s="16"/>
      <c r="K54" s="16" t="s">
        <v>996</v>
      </c>
      <c r="L54" s="16"/>
      <c r="M54" s="16" t="s">
        <v>997</v>
      </c>
      <c r="N54" s="16"/>
      <c r="O54" s="16" t="s">
        <v>998</v>
      </c>
      <c r="P54" s="16"/>
      <c r="Q54" s="16" t="s">
        <v>999</v>
      </c>
      <c r="R54" s="16"/>
      <c r="S54" s="16" t="s">
        <v>999</v>
      </c>
    </row>
    <row r="55" spans="1:19" ht="15" x14ac:dyDescent="0.2">
      <c r="A55" s="10" t="s">
        <v>1145</v>
      </c>
      <c r="B55" s="10"/>
      <c r="C55" s="16" t="s">
        <v>880</v>
      </c>
      <c r="D55" s="16"/>
      <c r="E55" s="16" t="s">
        <v>1000</v>
      </c>
      <c r="F55" s="16"/>
      <c r="G55" s="16" t="s">
        <v>1001</v>
      </c>
      <c r="H55" s="16"/>
      <c r="I55" s="16" t="s">
        <v>1002</v>
      </c>
      <c r="J55" s="16"/>
      <c r="K55" s="16" t="s">
        <v>1003</v>
      </c>
      <c r="L55" s="16"/>
      <c r="M55" s="16" t="s">
        <v>1004</v>
      </c>
      <c r="N55" s="16"/>
      <c r="O55" s="16" t="s">
        <v>1005</v>
      </c>
      <c r="P55" s="16"/>
      <c r="Q55" s="16" t="s">
        <v>1006</v>
      </c>
      <c r="R55" s="16"/>
      <c r="S55" s="16" t="s">
        <v>1006</v>
      </c>
    </row>
    <row r="56" spans="1:19" ht="15" x14ac:dyDescent="0.2">
      <c r="A56" s="10" t="s">
        <v>1146</v>
      </c>
      <c r="B56" s="10"/>
      <c r="C56" s="16" t="s">
        <v>880</v>
      </c>
      <c r="D56" s="16"/>
      <c r="E56" s="16" t="s">
        <v>1007</v>
      </c>
      <c r="F56" s="16"/>
      <c r="G56" s="16" t="s">
        <v>1008</v>
      </c>
      <c r="H56" s="16"/>
      <c r="I56" s="16" t="s">
        <v>1009</v>
      </c>
      <c r="J56" s="16"/>
      <c r="K56" s="16" t="s">
        <v>1010</v>
      </c>
      <c r="L56" s="16"/>
      <c r="M56" s="16" t="s">
        <v>1011</v>
      </c>
      <c r="N56" s="16"/>
      <c r="O56" s="16" t="s">
        <v>1012</v>
      </c>
      <c r="P56" s="16"/>
      <c r="Q56" s="16" t="s">
        <v>1013</v>
      </c>
      <c r="R56" s="16"/>
      <c r="S56" s="16" t="s">
        <v>1014</v>
      </c>
    </row>
    <row r="57" spans="1:19" ht="15" x14ac:dyDescent="0.2">
      <c r="A57" s="10" t="s">
        <v>1147</v>
      </c>
      <c r="B57" s="10"/>
      <c r="C57" s="16" t="s">
        <v>880</v>
      </c>
      <c r="D57" s="16"/>
      <c r="E57" s="16" t="s">
        <v>1015</v>
      </c>
      <c r="F57" s="16"/>
      <c r="G57" s="16" t="s">
        <v>1016</v>
      </c>
      <c r="H57" s="16"/>
      <c r="I57" s="16" t="s">
        <v>1017</v>
      </c>
      <c r="J57" s="16"/>
      <c r="K57" s="16" t="s">
        <v>1018</v>
      </c>
      <c r="L57" s="16"/>
      <c r="M57" s="16" t="s">
        <v>1019</v>
      </c>
      <c r="N57" s="16"/>
      <c r="O57" s="16" t="s">
        <v>1020</v>
      </c>
      <c r="P57" s="16"/>
      <c r="Q57" s="16" t="s">
        <v>1021</v>
      </c>
      <c r="R57" s="16"/>
      <c r="S57" s="16" t="s">
        <v>1022</v>
      </c>
    </row>
    <row r="58" spans="1:19" ht="15" x14ac:dyDescent="0.2">
      <c r="A58" s="10" t="s">
        <v>1148</v>
      </c>
      <c r="B58" s="10"/>
      <c r="C58" s="16" t="s">
        <v>880</v>
      </c>
      <c r="D58" s="16"/>
      <c r="E58" s="16" t="s">
        <v>1023</v>
      </c>
      <c r="F58" s="16"/>
      <c r="G58" s="16" t="s">
        <v>1024</v>
      </c>
      <c r="H58" s="16"/>
      <c r="I58" s="16" t="s">
        <v>1025</v>
      </c>
      <c r="J58" s="16"/>
      <c r="K58" s="16" t="s">
        <v>1026</v>
      </c>
      <c r="L58" s="16"/>
      <c r="M58" s="16" t="s">
        <v>1027</v>
      </c>
      <c r="N58" s="16"/>
      <c r="O58" s="16" t="s">
        <v>1028</v>
      </c>
      <c r="P58" s="16"/>
      <c r="Q58" s="16" t="s">
        <v>1029</v>
      </c>
      <c r="R58" s="16"/>
      <c r="S58" s="16" t="s">
        <v>1029</v>
      </c>
    </row>
    <row r="59" spans="1:19" ht="15" x14ac:dyDescent="0.2">
      <c r="A59" s="10" t="s">
        <v>1149</v>
      </c>
      <c r="B59" s="10"/>
      <c r="C59" s="16" t="s">
        <v>880</v>
      </c>
      <c r="D59" s="16"/>
      <c r="E59" s="16" t="s">
        <v>1030</v>
      </c>
      <c r="F59" s="16"/>
      <c r="G59" s="16" t="s">
        <v>1031</v>
      </c>
      <c r="H59" s="16"/>
      <c r="I59" s="16" t="s">
        <v>1032</v>
      </c>
      <c r="J59" s="16"/>
      <c r="K59" s="16" t="s">
        <v>1033</v>
      </c>
      <c r="L59" s="16"/>
      <c r="M59" s="16" t="s">
        <v>1034</v>
      </c>
      <c r="N59" s="16"/>
      <c r="O59" s="16" t="s">
        <v>1035</v>
      </c>
      <c r="P59" s="16"/>
      <c r="Q59" s="16" t="s">
        <v>1036</v>
      </c>
      <c r="R59" s="16"/>
      <c r="S59" s="16" t="s">
        <v>1036</v>
      </c>
    </row>
    <row r="60" spans="1:19" ht="16.5" x14ac:dyDescent="0.2">
      <c r="A60" s="9" t="s">
        <v>1150</v>
      </c>
      <c r="B60" s="9"/>
      <c r="C60" s="9"/>
      <c r="D60" s="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15" x14ac:dyDescent="0.2">
      <c r="A61" s="10" t="s">
        <v>1151</v>
      </c>
      <c r="B61" s="10"/>
      <c r="C61" s="16" t="s">
        <v>880</v>
      </c>
      <c r="D61" s="16"/>
      <c r="E61" s="16" t="s">
        <v>1037</v>
      </c>
      <c r="F61" s="16"/>
      <c r="G61" s="16" t="s">
        <v>1038</v>
      </c>
      <c r="H61" s="16"/>
      <c r="I61" s="16" t="s">
        <v>1039</v>
      </c>
      <c r="J61" s="16"/>
      <c r="K61" s="16" t="s">
        <v>1040</v>
      </c>
      <c r="L61" s="16"/>
      <c r="M61" s="16" t="s">
        <v>1041</v>
      </c>
      <c r="N61" s="16"/>
      <c r="O61" s="16" t="s">
        <v>1042</v>
      </c>
      <c r="P61" s="16"/>
      <c r="Q61" s="16" t="s">
        <v>1043</v>
      </c>
      <c r="R61" s="16"/>
      <c r="S61" s="16" t="s">
        <v>1043</v>
      </c>
    </row>
    <row r="62" spans="1:19" ht="15" x14ac:dyDescent="0.2">
      <c r="A62" s="10" t="s">
        <v>1152</v>
      </c>
      <c r="B62" s="10"/>
      <c r="C62" s="16" t="s">
        <v>880</v>
      </c>
      <c r="D62" s="16"/>
      <c r="E62" s="16" t="s">
        <v>1044</v>
      </c>
      <c r="F62" s="16"/>
      <c r="G62" s="16" t="s">
        <v>1045</v>
      </c>
      <c r="H62" s="16"/>
      <c r="I62" s="16" t="s">
        <v>1046</v>
      </c>
      <c r="J62" s="16"/>
      <c r="K62" s="16" t="s">
        <v>1047</v>
      </c>
      <c r="L62" s="16"/>
      <c r="M62" s="16" t="s">
        <v>1048</v>
      </c>
      <c r="N62" s="16"/>
      <c r="O62" s="16" t="s">
        <v>1049</v>
      </c>
      <c r="P62" s="16"/>
      <c r="Q62" s="16" t="s">
        <v>1050</v>
      </c>
      <c r="R62" s="16"/>
      <c r="S62" s="16" t="s">
        <v>1051</v>
      </c>
    </row>
    <row r="63" spans="1:19" ht="15" x14ac:dyDescent="0.2">
      <c r="A63" s="10" t="s">
        <v>1153</v>
      </c>
      <c r="B63" s="10"/>
      <c r="C63" s="16" t="s">
        <v>880</v>
      </c>
      <c r="D63" s="16"/>
      <c r="E63" s="16" t="s">
        <v>1052</v>
      </c>
      <c r="F63" s="16"/>
      <c r="G63" s="16" t="s">
        <v>1053</v>
      </c>
      <c r="H63" s="16"/>
      <c r="I63" s="16" t="s">
        <v>1054</v>
      </c>
      <c r="J63" s="16"/>
      <c r="K63" s="16" t="s">
        <v>1055</v>
      </c>
      <c r="L63" s="16"/>
      <c r="M63" s="16" t="s">
        <v>1056</v>
      </c>
      <c r="N63" s="16"/>
      <c r="O63" s="16" t="s">
        <v>1057</v>
      </c>
      <c r="P63" s="16"/>
      <c r="Q63" s="16" t="s">
        <v>1058</v>
      </c>
      <c r="R63" s="16"/>
      <c r="S63" s="16" t="s">
        <v>1059</v>
      </c>
    </row>
    <row r="64" spans="1:19" ht="15" x14ac:dyDescent="0.2">
      <c r="A64" s="10" t="s">
        <v>1154</v>
      </c>
      <c r="B64" s="10"/>
      <c r="C64" s="16" t="s">
        <v>1060</v>
      </c>
      <c r="D64" s="16"/>
      <c r="E64" s="16" t="s">
        <v>1061</v>
      </c>
      <c r="F64" s="16"/>
      <c r="G64" s="16" t="s">
        <v>1062</v>
      </c>
      <c r="H64" s="16"/>
      <c r="I64" s="16" t="s">
        <v>1063</v>
      </c>
      <c r="J64" s="16"/>
      <c r="K64" s="16" t="s">
        <v>1064</v>
      </c>
      <c r="L64" s="16"/>
      <c r="M64" s="16" t="s">
        <v>1065</v>
      </c>
      <c r="N64" s="16"/>
      <c r="O64" s="16" t="s">
        <v>1066</v>
      </c>
      <c r="P64" s="16"/>
      <c r="Q64" s="16" t="s">
        <v>1067</v>
      </c>
      <c r="R64" s="16"/>
      <c r="S64" s="16" t="s">
        <v>1068</v>
      </c>
    </row>
    <row r="65" spans="1:19" ht="15" x14ac:dyDescent="0.2">
      <c r="A65" s="10" t="s">
        <v>1155</v>
      </c>
      <c r="B65" s="10"/>
      <c r="C65" s="16" t="s">
        <v>881</v>
      </c>
      <c r="D65" s="16"/>
      <c r="E65" s="16" t="s">
        <v>1069</v>
      </c>
      <c r="F65" s="16"/>
      <c r="G65" s="16" t="s">
        <v>1070</v>
      </c>
      <c r="H65" s="16"/>
      <c r="I65" s="16" t="s">
        <v>1071</v>
      </c>
      <c r="J65" s="16"/>
      <c r="K65" s="16" t="s">
        <v>1072</v>
      </c>
      <c r="L65" s="16"/>
      <c r="M65" s="16" t="s">
        <v>1073</v>
      </c>
      <c r="N65" s="16"/>
      <c r="O65" s="16" t="s">
        <v>1074</v>
      </c>
      <c r="P65" s="16"/>
      <c r="Q65" s="16" t="s">
        <v>1075</v>
      </c>
      <c r="R65" s="16"/>
      <c r="S65" s="16" t="s">
        <v>1076</v>
      </c>
    </row>
    <row r="66" spans="1:19" ht="16.5" x14ac:dyDescent="0.2">
      <c r="A66" s="9" t="s">
        <v>1156</v>
      </c>
      <c r="B66" s="9"/>
      <c r="C66" s="9"/>
      <c r="D66" s="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ht="15" x14ac:dyDescent="0.2">
      <c r="A67" s="10" t="s">
        <v>1157</v>
      </c>
      <c r="B67" s="10"/>
      <c r="C67" s="16" t="s">
        <v>880</v>
      </c>
      <c r="D67" s="16"/>
      <c r="E67" s="16" t="s">
        <v>1077</v>
      </c>
      <c r="F67" s="16"/>
      <c r="G67" s="16" t="s">
        <v>1078</v>
      </c>
      <c r="H67" s="16"/>
      <c r="I67" s="16" t="s">
        <v>1079</v>
      </c>
      <c r="J67" s="16"/>
      <c r="K67" s="16" t="s">
        <v>1080</v>
      </c>
      <c r="L67" s="16"/>
      <c r="M67" s="16" t="s">
        <v>1081</v>
      </c>
      <c r="N67" s="16"/>
      <c r="O67" s="16" t="s">
        <v>1082</v>
      </c>
      <c r="P67" s="16"/>
      <c r="Q67" s="16" t="s">
        <v>1083</v>
      </c>
      <c r="R67" s="16"/>
      <c r="S67" s="16" t="s">
        <v>1083</v>
      </c>
    </row>
    <row r="68" spans="1:19" ht="15" x14ac:dyDescent="0.2">
      <c r="A68" s="10" t="s">
        <v>1158</v>
      </c>
      <c r="B68" s="10"/>
      <c r="C68" s="16" t="s">
        <v>881</v>
      </c>
      <c r="D68" s="16"/>
      <c r="E68" s="16" t="s">
        <v>1084</v>
      </c>
      <c r="F68" s="16"/>
      <c r="G68" s="16" t="s">
        <v>1085</v>
      </c>
      <c r="H68" s="16"/>
      <c r="I68" s="16" t="s">
        <v>1086</v>
      </c>
      <c r="J68" s="16"/>
      <c r="K68" s="16" t="s">
        <v>1087</v>
      </c>
      <c r="L68" s="16"/>
      <c r="M68" s="16" t="s">
        <v>1088</v>
      </c>
      <c r="N68" s="16"/>
      <c r="O68" s="16" t="s">
        <v>1089</v>
      </c>
      <c r="P68" s="16"/>
      <c r="Q68" s="16" t="s">
        <v>1090</v>
      </c>
      <c r="R68" s="16"/>
      <c r="S68" s="16" t="s">
        <v>1090</v>
      </c>
    </row>
    <row r="69" spans="1:19" ht="15" x14ac:dyDescent="0.2">
      <c r="A69" s="10" t="s">
        <v>1159</v>
      </c>
      <c r="B69" s="10"/>
      <c r="C69" s="16" t="s">
        <v>880</v>
      </c>
      <c r="D69" s="16"/>
      <c r="E69" s="16" t="s">
        <v>1091</v>
      </c>
      <c r="F69" s="16"/>
      <c r="G69" s="16" t="s">
        <v>1092</v>
      </c>
      <c r="H69" s="16"/>
      <c r="I69" s="16" t="s">
        <v>1093</v>
      </c>
      <c r="J69" s="16"/>
      <c r="K69" s="16" t="s">
        <v>1094</v>
      </c>
      <c r="L69" s="16"/>
      <c r="M69" s="16" t="s">
        <v>1095</v>
      </c>
      <c r="N69" s="16"/>
      <c r="O69" s="16" t="s">
        <v>1096</v>
      </c>
      <c r="P69" s="16"/>
      <c r="Q69" s="16" t="s">
        <v>1097</v>
      </c>
      <c r="R69" s="16"/>
      <c r="S69" s="16" t="s">
        <v>1097</v>
      </c>
    </row>
    <row r="70" spans="1:19" ht="16.5" x14ac:dyDescent="0.2">
      <c r="A70" s="9" t="s">
        <v>1160</v>
      </c>
      <c r="B70" s="9"/>
      <c r="C70" s="9"/>
      <c r="D70" s="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ht="15" x14ac:dyDescent="0.2">
      <c r="A71" s="10" t="s">
        <v>1161</v>
      </c>
      <c r="B71" s="10"/>
      <c r="C71" s="16" t="s">
        <v>880</v>
      </c>
      <c r="D71" s="16"/>
      <c r="E71" s="16" t="s">
        <v>1098</v>
      </c>
      <c r="F71" s="16"/>
      <c r="G71" s="16" t="s">
        <v>1099</v>
      </c>
      <c r="H71" s="16"/>
      <c r="I71" s="16" t="s">
        <v>1100</v>
      </c>
      <c r="J71" s="16"/>
      <c r="K71" s="16" t="s">
        <v>1101</v>
      </c>
      <c r="L71" s="16"/>
      <c r="M71" s="16" t="s">
        <v>1102</v>
      </c>
      <c r="N71" s="16"/>
      <c r="O71" s="16" t="s">
        <v>1103</v>
      </c>
      <c r="P71" s="16"/>
      <c r="Q71" s="16" t="s">
        <v>1104</v>
      </c>
      <c r="R71" s="16"/>
      <c r="S71" s="16" t="s">
        <v>1104</v>
      </c>
    </row>
    <row r="72" spans="1:19" x14ac:dyDescent="0.2">
      <c r="Q72" s="13"/>
      <c r="R72" s="13"/>
    </row>
  </sheetData>
  <mergeCells count="22">
    <mergeCell ref="P8:Q8"/>
    <mergeCell ref="P9:Q9"/>
    <mergeCell ref="R8:S8"/>
    <mergeCell ref="R9:S9"/>
    <mergeCell ref="L8:M8"/>
    <mergeCell ref="L9:M9"/>
    <mergeCell ref="N8:O8"/>
    <mergeCell ref="N9:O9"/>
    <mergeCell ref="J7:K7"/>
    <mergeCell ref="J8:K8"/>
    <mergeCell ref="J9:K9"/>
    <mergeCell ref="D8:E8"/>
    <mergeCell ref="D9:E9"/>
    <mergeCell ref="F8:G8"/>
    <mergeCell ref="F9:G9"/>
    <mergeCell ref="A6:C6"/>
    <mergeCell ref="A7:C7"/>
    <mergeCell ref="A8:A9"/>
    <mergeCell ref="B8:C8"/>
    <mergeCell ref="B9:C9"/>
    <mergeCell ref="H8:I8"/>
    <mergeCell ref="H9:I9"/>
  </mergeCells>
  <phoneticPr fontId="11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opLeftCell="A28" workbookViewId="0">
      <selection activeCell="C54" sqref="C54:C59"/>
    </sheetView>
  </sheetViews>
  <sheetFormatPr baseColWidth="10" defaultRowHeight="12.75" x14ac:dyDescent="0.2"/>
  <cols>
    <col min="1" max="1" width="22.85546875" customWidth="1"/>
    <col min="2" max="2" width="14.140625" customWidth="1"/>
    <col min="3" max="19" width="13.85546875" style="1" customWidth="1"/>
  </cols>
  <sheetData>
    <row r="1" spans="1:19" ht="23.25" x14ac:dyDescent="0.35">
      <c r="A1" s="2">
        <v>2011</v>
      </c>
      <c r="B1" s="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">
      <c r="A2" s="4"/>
      <c r="B2" s="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8" x14ac:dyDescent="0.3">
      <c r="A3" s="5"/>
      <c r="B3" s="5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">
      <c r="A4" s="6"/>
      <c r="B4" s="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5" x14ac:dyDescent="0.2">
      <c r="A5" s="7"/>
      <c r="B5" s="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5" customHeight="1" x14ac:dyDescent="0.3">
      <c r="A6" s="8" t="s">
        <v>1117</v>
      </c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 customHeight="1" thickBot="1" x14ac:dyDescent="0.35">
      <c r="A7" s="8"/>
      <c r="B7" s="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6.5" x14ac:dyDescent="0.2">
      <c r="A8" s="9" t="s">
        <v>1118</v>
      </c>
      <c r="B8" s="255" t="s">
        <v>1119</v>
      </c>
      <c r="C8" s="256"/>
      <c r="D8" s="264" t="s">
        <v>1119</v>
      </c>
      <c r="E8" s="264"/>
      <c r="F8" s="255" t="s">
        <v>1119</v>
      </c>
      <c r="G8" s="256"/>
      <c r="H8" s="264" t="s">
        <v>1119</v>
      </c>
      <c r="I8" s="264"/>
      <c r="J8" s="255" t="s">
        <v>1119</v>
      </c>
      <c r="K8" s="256"/>
      <c r="L8" s="264" t="s">
        <v>1119</v>
      </c>
      <c r="M8" s="264"/>
      <c r="N8" s="255" t="s">
        <v>1119</v>
      </c>
      <c r="O8" s="256"/>
      <c r="P8" s="264" t="s">
        <v>1119</v>
      </c>
      <c r="Q8" s="264"/>
      <c r="R8" s="255" t="s">
        <v>1119</v>
      </c>
      <c r="S8" s="256"/>
    </row>
    <row r="9" spans="1:19" s="17" customFormat="1" ht="26.25" customHeight="1" x14ac:dyDescent="0.2">
      <c r="A9" s="9"/>
      <c r="B9" s="262" t="s">
        <v>1105</v>
      </c>
      <c r="C9" s="263"/>
      <c r="D9" s="265" t="s">
        <v>1106</v>
      </c>
      <c r="E9" s="265"/>
      <c r="F9" s="262" t="s">
        <v>1115</v>
      </c>
      <c r="G9" s="263"/>
      <c r="H9" s="265" t="s">
        <v>1116</v>
      </c>
      <c r="I9" s="265"/>
      <c r="J9" s="262" t="s">
        <v>270</v>
      </c>
      <c r="K9" s="263"/>
      <c r="L9" s="265" t="s">
        <v>638</v>
      </c>
      <c r="M9" s="265"/>
      <c r="N9" s="262" t="s">
        <v>271</v>
      </c>
      <c r="O9" s="263"/>
      <c r="P9" s="265" t="s">
        <v>272</v>
      </c>
      <c r="Q9" s="265"/>
      <c r="R9" s="262" t="s">
        <v>273</v>
      </c>
      <c r="S9" s="263"/>
    </row>
    <row r="10" spans="1:19" ht="16.5" x14ac:dyDescent="0.2">
      <c r="A10" s="9" t="s">
        <v>1120</v>
      </c>
      <c r="B10" s="53"/>
      <c r="C10" s="20"/>
      <c r="D10" s="15"/>
      <c r="E10" s="15"/>
      <c r="F10" s="18"/>
      <c r="G10" s="20"/>
      <c r="H10" s="15"/>
      <c r="I10" s="15"/>
      <c r="J10" s="18"/>
      <c r="K10" s="20"/>
      <c r="L10" s="15"/>
      <c r="M10" s="15"/>
      <c r="N10" s="18"/>
      <c r="O10" s="20"/>
      <c r="P10" s="15"/>
      <c r="Q10" s="15"/>
      <c r="R10" s="18"/>
      <c r="S10" s="20"/>
    </row>
    <row r="11" spans="1:19" ht="15" x14ac:dyDescent="0.2">
      <c r="A11" s="10" t="s">
        <v>1121</v>
      </c>
      <c r="B11" s="55"/>
      <c r="C11" s="23" t="s">
        <v>880</v>
      </c>
      <c r="D11" s="16"/>
      <c r="E11" s="16" t="s">
        <v>880</v>
      </c>
      <c r="F11" s="21"/>
      <c r="G11" s="23" t="s">
        <v>639</v>
      </c>
      <c r="H11" s="16"/>
      <c r="I11" s="16" t="s">
        <v>640</v>
      </c>
      <c r="J11" s="21"/>
      <c r="K11" s="23" t="s">
        <v>641</v>
      </c>
      <c r="L11" s="16"/>
      <c r="M11" s="16" t="s">
        <v>642</v>
      </c>
      <c r="N11" s="21"/>
      <c r="O11" s="23" t="s">
        <v>643</v>
      </c>
      <c r="P11" s="16"/>
      <c r="Q11" s="16" t="s">
        <v>644</v>
      </c>
      <c r="R11" s="21"/>
      <c r="S11" s="23" t="s">
        <v>644</v>
      </c>
    </row>
    <row r="12" spans="1:19" ht="16.5" x14ac:dyDescent="0.2">
      <c r="A12" s="9" t="s">
        <v>1123</v>
      </c>
      <c r="B12" s="53"/>
      <c r="C12" s="20"/>
      <c r="D12" s="15"/>
      <c r="E12" s="15"/>
      <c r="F12" s="18"/>
      <c r="G12" s="20"/>
      <c r="H12" s="15"/>
      <c r="I12" s="15"/>
      <c r="J12" s="18"/>
      <c r="K12" s="20"/>
      <c r="L12" s="15"/>
      <c r="M12" s="15"/>
      <c r="N12" s="18"/>
      <c r="O12" s="20"/>
      <c r="P12" s="15"/>
      <c r="Q12" s="15"/>
      <c r="R12" s="18"/>
      <c r="S12" s="20"/>
    </row>
    <row r="13" spans="1:19" ht="15" x14ac:dyDescent="0.2">
      <c r="A13" s="10" t="s">
        <v>1124</v>
      </c>
      <c r="B13" s="55"/>
      <c r="C13" s="23" t="s">
        <v>880</v>
      </c>
      <c r="D13" s="16"/>
      <c r="E13" s="16" t="s">
        <v>880</v>
      </c>
      <c r="F13" s="21"/>
      <c r="G13" s="23" t="s">
        <v>645</v>
      </c>
      <c r="H13" s="16"/>
      <c r="I13" s="16" t="s">
        <v>646</v>
      </c>
      <c r="J13" s="21"/>
      <c r="K13" s="23" t="s">
        <v>647</v>
      </c>
      <c r="L13" s="16"/>
      <c r="M13" s="16" t="s">
        <v>648</v>
      </c>
      <c r="N13" s="21"/>
      <c r="O13" s="23" t="s">
        <v>649</v>
      </c>
      <c r="P13" s="16"/>
      <c r="Q13" s="16" t="s">
        <v>650</v>
      </c>
      <c r="R13" s="21"/>
      <c r="S13" s="23" t="s">
        <v>650</v>
      </c>
    </row>
    <row r="14" spans="1:19" ht="15" x14ac:dyDescent="0.2">
      <c r="A14" s="10" t="s">
        <v>1125</v>
      </c>
      <c r="B14" s="55"/>
      <c r="C14" s="23" t="s">
        <v>880</v>
      </c>
      <c r="D14" s="16"/>
      <c r="E14" s="16" t="s">
        <v>880</v>
      </c>
      <c r="F14" s="21"/>
      <c r="G14" s="23" t="s">
        <v>651</v>
      </c>
      <c r="H14" s="16"/>
      <c r="I14" s="16" t="s">
        <v>652</v>
      </c>
      <c r="J14" s="21"/>
      <c r="K14" s="23" t="s">
        <v>653</v>
      </c>
      <c r="L14" s="16"/>
      <c r="M14" s="16" t="s">
        <v>654</v>
      </c>
      <c r="N14" s="21"/>
      <c r="O14" s="23" t="s">
        <v>655</v>
      </c>
      <c r="P14" s="16"/>
      <c r="Q14" s="16" t="s">
        <v>656</v>
      </c>
      <c r="R14" s="21"/>
      <c r="S14" s="23" t="s">
        <v>656</v>
      </c>
    </row>
    <row r="15" spans="1:19" ht="15" x14ac:dyDescent="0.2">
      <c r="A15" s="10" t="s">
        <v>902</v>
      </c>
      <c r="B15" s="55"/>
      <c r="C15" s="23" t="s">
        <v>880</v>
      </c>
      <c r="D15" s="16"/>
      <c r="E15" s="16" t="s">
        <v>881</v>
      </c>
      <c r="F15" s="21"/>
      <c r="G15" s="23" t="s">
        <v>657</v>
      </c>
      <c r="H15" s="16"/>
      <c r="I15" s="16" t="s">
        <v>658</v>
      </c>
      <c r="J15" s="21"/>
      <c r="K15" s="23" t="s">
        <v>659</v>
      </c>
      <c r="L15" s="16"/>
      <c r="M15" s="16" t="s">
        <v>660</v>
      </c>
      <c r="N15" s="21"/>
      <c r="O15" s="23" t="s">
        <v>661</v>
      </c>
      <c r="P15" s="16"/>
      <c r="Q15" s="16" t="s">
        <v>662</v>
      </c>
      <c r="R15" s="21"/>
      <c r="S15" s="23" t="s">
        <v>663</v>
      </c>
    </row>
    <row r="16" spans="1:19" ht="16.5" x14ac:dyDescent="0.2">
      <c r="A16" s="9" t="s">
        <v>1126</v>
      </c>
      <c r="B16" s="53"/>
      <c r="C16" s="20"/>
      <c r="D16" s="15"/>
      <c r="E16" s="15"/>
      <c r="F16" s="18"/>
      <c r="G16" s="20"/>
      <c r="H16" s="15"/>
      <c r="I16" s="15"/>
      <c r="J16" s="18"/>
      <c r="K16" s="20"/>
      <c r="L16" s="15"/>
      <c r="M16" s="15"/>
      <c r="N16" s="18"/>
      <c r="O16" s="20"/>
      <c r="P16" s="15"/>
      <c r="Q16" s="15"/>
      <c r="R16" s="18"/>
      <c r="S16" s="20"/>
    </row>
    <row r="17" spans="1:19" ht="15" x14ac:dyDescent="0.2">
      <c r="A17" s="10" t="s">
        <v>1127</v>
      </c>
      <c r="B17" s="55"/>
      <c r="C17" s="23" t="s">
        <v>880</v>
      </c>
      <c r="D17" s="16"/>
      <c r="E17" s="16" t="s">
        <v>664</v>
      </c>
      <c r="F17" s="21"/>
      <c r="G17" s="23" t="s">
        <v>665</v>
      </c>
      <c r="H17" s="16"/>
      <c r="I17" s="16" t="s">
        <v>666</v>
      </c>
      <c r="J17" s="21"/>
      <c r="K17" s="23" t="s">
        <v>667</v>
      </c>
      <c r="L17" s="16"/>
      <c r="M17" s="16" t="s">
        <v>668</v>
      </c>
      <c r="N17" s="21"/>
      <c r="O17" s="23" t="s">
        <v>669</v>
      </c>
      <c r="P17" s="16"/>
      <c r="Q17" s="16" t="s">
        <v>670</v>
      </c>
      <c r="R17" s="21"/>
      <c r="S17" s="23" t="s">
        <v>671</v>
      </c>
    </row>
    <row r="18" spans="1:19" ht="15" x14ac:dyDescent="0.2">
      <c r="A18" s="10" t="s">
        <v>1128</v>
      </c>
      <c r="B18" s="55"/>
      <c r="C18" s="23" t="s">
        <v>880</v>
      </c>
      <c r="D18" s="16"/>
      <c r="E18" s="16" t="s">
        <v>672</v>
      </c>
      <c r="F18" s="21"/>
      <c r="G18" s="23" t="s">
        <v>673</v>
      </c>
      <c r="H18" s="16"/>
      <c r="I18" s="16" t="s">
        <v>674</v>
      </c>
      <c r="J18" s="21"/>
      <c r="K18" s="23" t="s">
        <v>675</v>
      </c>
      <c r="L18" s="16"/>
      <c r="M18" s="16" t="s">
        <v>676</v>
      </c>
      <c r="N18" s="21"/>
      <c r="O18" s="23" t="s">
        <v>677</v>
      </c>
      <c r="P18" s="16"/>
      <c r="Q18" s="16" t="s">
        <v>678</v>
      </c>
      <c r="R18" s="21"/>
      <c r="S18" s="23" t="s">
        <v>679</v>
      </c>
    </row>
    <row r="19" spans="1:19" ht="16.5" x14ac:dyDescent="0.2">
      <c r="A19" s="9" t="s">
        <v>1129</v>
      </c>
      <c r="B19" s="53"/>
      <c r="C19" s="20"/>
      <c r="D19" s="15"/>
      <c r="E19" s="15"/>
      <c r="F19" s="18"/>
      <c r="G19" s="20"/>
      <c r="H19" s="15"/>
      <c r="I19" s="15"/>
      <c r="J19" s="18"/>
      <c r="K19" s="20"/>
      <c r="L19" s="15"/>
      <c r="M19" s="15"/>
      <c r="N19" s="18"/>
      <c r="O19" s="20"/>
      <c r="P19" s="15"/>
      <c r="Q19" s="15"/>
      <c r="R19" s="18"/>
      <c r="S19" s="20"/>
    </row>
    <row r="20" spans="1:19" ht="15" x14ac:dyDescent="0.2">
      <c r="A20" s="10" t="s">
        <v>1130</v>
      </c>
      <c r="B20" s="55"/>
      <c r="C20" s="23" t="s">
        <v>880</v>
      </c>
      <c r="D20" s="16"/>
      <c r="E20" s="16" t="s">
        <v>680</v>
      </c>
      <c r="F20" s="21"/>
      <c r="G20" s="23" t="s">
        <v>681</v>
      </c>
      <c r="H20" s="16"/>
      <c r="I20" s="16" t="s">
        <v>682</v>
      </c>
      <c r="J20" s="21"/>
      <c r="K20" s="23" t="s">
        <v>683</v>
      </c>
      <c r="L20" s="16"/>
      <c r="M20" s="16" t="s">
        <v>684</v>
      </c>
      <c r="N20" s="21"/>
      <c r="O20" s="23" t="s">
        <v>685</v>
      </c>
      <c r="P20" s="16"/>
      <c r="Q20" s="16" t="s">
        <v>686</v>
      </c>
      <c r="R20" s="21"/>
      <c r="S20" s="23" t="s">
        <v>687</v>
      </c>
    </row>
    <row r="21" spans="1:19" ht="15" x14ac:dyDescent="0.2">
      <c r="A21" s="10" t="s">
        <v>1131</v>
      </c>
      <c r="B21" s="55"/>
      <c r="C21" s="23" t="s">
        <v>880</v>
      </c>
      <c r="D21" s="16"/>
      <c r="E21" s="16" t="s">
        <v>959</v>
      </c>
      <c r="F21" s="21"/>
      <c r="G21" s="23" t="s">
        <v>688</v>
      </c>
      <c r="H21" s="16"/>
      <c r="I21" s="16" t="s">
        <v>689</v>
      </c>
      <c r="J21" s="21"/>
      <c r="K21" s="23" t="s">
        <v>690</v>
      </c>
      <c r="L21" s="16"/>
      <c r="M21" s="16" t="s">
        <v>691</v>
      </c>
      <c r="N21" s="21"/>
      <c r="O21" s="23" t="s">
        <v>692</v>
      </c>
      <c r="P21" s="16"/>
      <c r="Q21" s="16" t="s">
        <v>693</v>
      </c>
      <c r="R21" s="21"/>
      <c r="S21" s="23" t="s">
        <v>694</v>
      </c>
    </row>
    <row r="22" spans="1:19" ht="16.5" x14ac:dyDescent="0.2">
      <c r="A22" s="9" t="s">
        <v>1132</v>
      </c>
      <c r="B22" s="53"/>
      <c r="C22" s="20"/>
      <c r="D22" s="15"/>
      <c r="E22" s="15"/>
      <c r="F22" s="18"/>
      <c r="G22" s="20"/>
      <c r="H22" s="15"/>
      <c r="I22" s="15"/>
      <c r="J22" s="18"/>
      <c r="K22" s="20"/>
      <c r="L22" s="15"/>
      <c r="M22" s="15"/>
      <c r="N22" s="18"/>
      <c r="O22" s="20"/>
      <c r="P22" s="15"/>
      <c r="Q22" s="15"/>
      <c r="R22" s="18"/>
      <c r="S22" s="20"/>
    </row>
    <row r="23" spans="1:19" ht="15" x14ac:dyDescent="0.2">
      <c r="A23" s="10" t="s">
        <v>1133</v>
      </c>
      <c r="B23" s="55"/>
      <c r="C23" s="23" t="s">
        <v>880</v>
      </c>
      <c r="D23" s="16"/>
      <c r="E23" s="16" t="s">
        <v>695</v>
      </c>
      <c r="F23" s="21"/>
      <c r="G23" s="23" t="s">
        <v>696</v>
      </c>
      <c r="H23" s="16"/>
      <c r="I23" s="16" t="s">
        <v>697</v>
      </c>
      <c r="J23" s="21"/>
      <c r="K23" s="23" t="s">
        <v>698</v>
      </c>
      <c r="L23" s="16"/>
      <c r="M23" s="16" t="s">
        <v>699</v>
      </c>
      <c r="N23" s="21"/>
      <c r="O23" s="23" t="s">
        <v>700</v>
      </c>
      <c r="P23" s="16"/>
      <c r="Q23" s="16" t="s">
        <v>701</v>
      </c>
      <c r="R23" s="21"/>
      <c r="S23" s="23" t="s">
        <v>702</v>
      </c>
    </row>
    <row r="24" spans="1:19" ht="15" x14ac:dyDescent="0.2">
      <c r="A24" s="10" t="s">
        <v>1134</v>
      </c>
      <c r="B24" s="55"/>
      <c r="C24" s="23" t="s">
        <v>880</v>
      </c>
      <c r="D24" s="16"/>
      <c r="E24" s="16" t="s">
        <v>703</v>
      </c>
      <c r="F24" s="21"/>
      <c r="G24" s="23" t="s">
        <v>704</v>
      </c>
      <c r="H24" s="16"/>
      <c r="I24" s="16" t="s">
        <v>705</v>
      </c>
      <c r="J24" s="21"/>
      <c r="K24" s="23" t="s">
        <v>706</v>
      </c>
      <c r="L24" s="16"/>
      <c r="M24" s="16" t="s">
        <v>707</v>
      </c>
      <c r="N24" s="21"/>
      <c r="O24" s="23" t="s">
        <v>708</v>
      </c>
      <c r="P24" s="16"/>
      <c r="Q24" s="16" t="s">
        <v>709</v>
      </c>
      <c r="R24" s="21"/>
      <c r="S24" s="23" t="s">
        <v>710</v>
      </c>
    </row>
    <row r="25" spans="1:19" ht="15" x14ac:dyDescent="0.2">
      <c r="A25" s="10" t="s">
        <v>1135</v>
      </c>
      <c r="B25" s="55"/>
      <c r="C25" s="23" t="s">
        <v>880</v>
      </c>
      <c r="D25" s="16"/>
      <c r="E25" s="16" t="s">
        <v>711</v>
      </c>
      <c r="F25" s="21"/>
      <c r="G25" s="23" t="s">
        <v>712</v>
      </c>
      <c r="H25" s="16"/>
      <c r="I25" s="16" t="s">
        <v>713</v>
      </c>
      <c r="J25" s="21"/>
      <c r="K25" s="23" t="s">
        <v>714</v>
      </c>
      <c r="L25" s="16"/>
      <c r="M25" s="16" t="s">
        <v>715</v>
      </c>
      <c r="N25" s="21"/>
      <c r="O25" s="23" t="s">
        <v>716</v>
      </c>
      <c r="P25" s="16"/>
      <c r="Q25" s="16" t="s">
        <v>717</v>
      </c>
      <c r="R25" s="21"/>
      <c r="S25" s="23" t="s">
        <v>718</v>
      </c>
    </row>
    <row r="26" spans="1:19" ht="16.5" x14ac:dyDescent="0.2">
      <c r="A26" s="9" t="s">
        <v>1136</v>
      </c>
      <c r="B26" s="53"/>
      <c r="C26" s="20"/>
      <c r="D26" s="15"/>
      <c r="E26" s="15"/>
      <c r="F26" s="18"/>
      <c r="G26" s="20"/>
      <c r="H26" s="15"/>
      <c r="I26" s="15"/>
      <c r="J26" s="18"/>
      <c r="K26" s="20"/>
      <c r="L26" s="15"/>
      <c r="M26" s="15"/>
      <c r="N26" s="18"/>
      <c r="O26" s="20"/>
      <c r="P26" s="15"/>
      <c r="Q26" s="15"/>
      <c r="R26" s="18"/>
      <c r="S26" s="20"/>
    </row>
    <row r="27" spans="1:19" ht="15" x14ac:dyDescent="0.2">
      <c r="A27" s="10" t="s">
        <v>1137</v>
      </c>
      <c r="B27" s="55"/>
      <c r="C27" s="23" t="s">
        <v>880</v>
      </c>
      <c r="D27" s="16"/>
      <c r="E27" s="16" t="s">
        <v>719</v>
      </c>
      <c r="F27" s="21"/>
      <c r="G27" s="23" t="s">
        <v>720</v>
      </c>
      <c r="H27" s="16"/>
      <c r="I27" s="16" t="s">
        <v>721</v>
      </c>
      <c r="J27" s="21"/>
      <c r="K27" s="23" t="s">
        <v>722</v>
      </c>
      <c r="L27" s="16"/>
      <c r="M27" s="16" t="s">
        <v>723</v>
      </c>
      <c r="N27" s="21"/>
      <c r="O27" s="23" t="s">
        <v>724</v>
      </c>
      <c r="P27" s="16"/>
      <c r="Q27" s="16" t="s">
        <v>725</v>
      </c>
      <c r="R27" s="21"/>
      <c r="S27" s="23" t="s">
        <v>726</v>
      </c>
    </row>
    <row r="28" spans="1:19" ht="15" x14ac:dyDescent="0.2">
      <c r="A28" s="10" t="s">
        <v>1138</v>
      </c>
      <c r="B28" s="55"/>
      <c r="C28" s="23" t="s">
        <v>880</v>
      </c>
      <c r="D28" s="16"/>
      <c r="E28" s="16" t="s">
        <v>727</v>
      </c>
      <c r="F28" s="21"/>
      <c r="G28" s="23" t="s">
        <v>728</v>
      </c>
      <c r="H28" s="16"/>
      <c r="I28" s="16" t="s">
        <v>729</v>
      </c>
      <c r="J28" s="21"/>
      <c r="K28" s="23" t="s">
        <v>730</v>
      </c>
      <c r="L28" s="16"/>
      <c r="M28" s="16" t="s">
        <v>731</v>
      </c>
      <c r="N28" s="21"/>
      <c r="O28" s="23" t="s">
        <v>732</v>
      </c>
      <c r="P28" s="16"/>
      <c r="Q28" s="16" t="s">
        <v>733</v>
      </c>
      <c r="R28" s="21"/>
      <c r="S28" s="23" t="s">
        <v>734</v>
      </c>
    </row>
    <row r="29" spans="1:19" ht="16.5" x14ac:dyDescent="0.2">
      <c r="A29" s="9" t="s">
        <v>1139</v>
      </c>
      <c r="B29" s="53"/>
      <c r="C29" s="20"/>
      <c r="D29" s="15"/>
      <c r="E29" s="15"/>
      <c r="F29" s="18"/>
      <c r="G29" s="20"/>
      <c r="H29" s="15"/>
      <c r="I29" s="15"/>
      <c r="J29" s="18"/>
      <c r="K29" s="20"/>
      <c r="L29" s="15"/>
      <c r="M29" s="15"/>
      <c r="N29" s="18"/>
      <c r="O29" s="20"/>
      <c r="P29" s="15"/>
      <c r="Q29" s="15"/>
      <c r="R29" s="18"/>
      <c r="S29" s="20"/>
    </row>
    <row r="30" spans="1:19" ht="15" x14ac:dyDescent="0.2">
      <c r="A30" s="10" t="s">
        <v>1140</v>
      </c>
      <c r="B30" s="55"/>
      <c r="C30" s="23" t="s">
        <v>880</v>
      </c>
      <c r="D30" s="16"/>
      <c r="E30" s="16" t="s">
        <v>735</v>
      </c>
      <c r="F30" s="21"/>
      <c r="G30" s="23" t="s">
        <v>736</v>
      </c>
      <c r="H30" s="16"/>
      <c r="I30" s="16" t="s">
        <v>737</v>
      </c>
      <c r="J30" s="21"/>
      <c r="K30" s="23" t="s">
        <v>738</v>
      </c>
      <c r="L30" s="16"/>
      <c r="M30" s="16" t="s">
        <v>739</v>
      </c>
      <c r="N30" s="21"/>
      <c r="O30" s="23" t="s">
        <v>740</v>
      </c>
      <c r="P30" s="16"/>
      <c r="Q30" s="16" t="s">
        <v>741</v>
      </c>
      <c r="R30" s="21"/>
      <c r="S30" s="23" t="s">
        <v>742</v>
      </c>
    </row>
    <row r="31" spans="1:19" ht="15" x14ac:dyDescent="0.2">
      <c r="A31" s="10" t="s">
        <v>1141</v>
      </c>
      <c r="B31" s="55"/>
      <c r="C31" s="23" t="s">
        <v>979</v>
      </c>
      <c r="D31" s="16"/>
      <c r="E31" s="16" t="s">
        <v>743</v>
      </c>
      <c r="F31" s="21"/>
      <c r="G31" s="23" t="s">
        <v>744</v>
      </c>
      <c r="H31" s="16"/>
      <c r="I31" s="16" t="s">
        <v>745</v>
      </c>
      <c r="J31" s="21"/>
      <c r="K31" s="23" t="s">
        <v>746</v>
      </c>
      <c r="L31" s="16"/>
      <c r="M31" s="16" t="s">
        <v>747</v>
      </c>
      <c r="N31" s="21"/>
      <c r="O31" s="23" t="s">
        <v>748</v>
      </c>
      <c r="P31" s="16"/>
      <c r="Q31" s="16" t="s">
        <v>749</v>
      </c>
      <c r="R31" s="21"/>
      <c r="S31" s="23" t="s">
        <v>750</v>
      </c>
    </row>
    <row r="32" spans="1:19" ht="15.75" thickBot="1" x14ac:dyDescent="0.25">
      <c r="A32" s="10" t="s">
        <v>1142</v>
      </c>
      <c r="B32" s="55"/>
      <c r="C32" s="23" t="s">
        <v>880</v>
      </c>
      <c r="D32" s="16"/>
      <c r="E32" s="16" t="s">
        <v>751</v>
      </c>
      <c r="F32" s="21"/>
      <c r="G32" s="23" t="s">
        <v>752</v>
      </c>
      <c r="H32" s="16"/>
      <c r="I32" s="16" t="s">
        <v>753</v>
      </c>
      <c r="J32" s="21"/>
      <c r="K32" s="23" t="s">
        <v>754</v>
      </c>
      <c r="L32" s="16"/>
      <c r="M32" s="16" t="s">
        <v>755</v>
      </c>
      <c r="N32" s="21"/>
      <c r="O32" s="23" t="s">
        <v>756</v>
      </c>
      <c r="P32" s="16"/>
      <c r="Q32" s="16" t="s">
        <v>757</v>
      </c>
      <c r="R32" s="21"/>
      <c r="S32" s="23" t="s">
        <v>758</v>
      </c>
    </row>
    <row r="33" spans="1:19" ht="16.5" x14ac:dyDescent="0.2">
      <c r="A33" s="51" t="s">
        <v>1341</v>
      </c>
      <c r="B33" s="51"/>
      <c r="C33" s="96"/>
      <c r="D33" s="95"/>
      <c r="E33" s="95"/>
      <c r="F33" s="88"/>
      <c r="G33" s="96"/>
      <c r="H33" s="95"/>
      <c r="I33" s="95"/>
      <c r="J33" s="88"/>
      <c r="K33" s="96"/>
      <c r="L33" s="95"/>
      <c r="M33" s="95"/>
      <c r="N33" s="88"/>
      <c r="O33" s="96"/>
      <c r="P33" s="95"/>
      <c r="Q33" s="95"/>
      <c r="R33" s="88"/>
      <c r="S33" s="101"/>
    </row>
    <row r="34" spans="1:19" ht="15" x14ac:dyDescent="0.2">
      <c r="A34" s="55" t="s">
        <v>1342</v>
      </c>
      <c r="B34" s="21">
        <v>0</v>
      </c>
      <c r="C34" s="49" t="s">
        <v>880</v>
      </c>
      <c r="D34" s="22">
        <v>4.0999999999999996</v>
      </c>
      <c r="E34" s="10" t="s">
        <v>274</v>
      </c>
      <c r="F34" s="21">
        <v>93.4</v>
      </c>
      <c r="G34" s="49" t="s">
        <v>284</v>
      </c>
      <c r="H34" s="22">
        <v>326.7</v>
      </c>
      <c r="I34" s="10" t="s">
        <v>302</v>
      </c>
      <c r="J34" s="21">
        <v>679.7</v>
      </c>
      <c r="K34" s="49" t="s">
        <v>319</v>
      </c>
      <c r="L34" s="22">
        <v>982.2</v>
      </c>
      <c r="M34" s="10" t="s">
        <v>337</v>
      </c>
      <c r="N34" s="21">
        <v>1165.9000000000001</v>
      </c>
      <c r="O34" s="49" t="s">
        <v>355</v>
      </c>
      <c r="P34" s="22">
        <v>1201.7</v>
      </c>
      <c r="Q34" s="10" t="s">
        <v>373</v>
      </c>
      <c r="R34" s="21">
        <v>1203.5999999999999</v>
      </c>
      <c r="S34" s="49" t="s">
        <v>391</v>
      </c>
    </row>
    <row r="35" spans="1:19" ht="15" x14ac:dyDescent="0.2">
      <c r="A35" s="55" t="s">
        <v>1343</v>
      </c>
      <c r="B35" s="21">
        <v>0</v>
      </c>
      <c r="C35" s="49" t="s">
        <v>880</v>
      </c>
      <c r="D35" s="22">
        <v>4.8</v>
      </c>
      <c r="E35" s="10" t="s">
        <v>468</v>
      </c>
      <c r="F35" s="21">
        <v>115.7</v>
      </c>
      <c r="G35" s="49" t="s">
        <v>285</v>
      </c>
      <c r="H35" s="22">
        <v>363.7</v>
      </c>
      <c r="I35" s="10" t="s">
        <v>303</v>
      </c>
      <c r="J35" s="21">
        <v>728.6</v>
      </c>
      <c r="K35" s="49" t="s">
        <v>320</v>
      </c>
      <c r="L35" s="22">
        <v>1030.5</v>
      </c>
      <c r="M35" s="10" t="s">
        <v>338</v>
      </c>
      <c r="N35" s="21">
        <v>1216.2</v>
      </c>
      <c r="O35" s="49" t="s">
        <v>356</v>
      </c>
      <c r="P35" s="22">
        <v>1253.0999999999999</v>
      </c>
      <c r="Q35" s="10" t="s">
        <v>374</v>
      </c>
      <c r="R35" s="21">
        <v>1255.5</v>
      </c>
      <c r="S35" s="49" t="s">
        <v>392</v>
      </c>
    </row>
    <row r="36" spans="1:19" ht="15" x14ac:dyDescent="0.2">
      <c r="A36" s="55"/>
      <c r="B36" s="21">
        <v>0</v>
      </c>
      <c r="C36" s="49" t="s">
        <v>880</v>
      </c>
      <c r="D36" s="22">
        <v>0</v>
      </c>
      <c r="E36" s="10" t="s">
        <v>880</v>
      </c>
      <c r="F36" s="21">
        <v>47.5</v>
      </c>
      <c r="G36" s="49" t="s">
        <v>286</v>
      </c>
      <c r="H36" s="22">
        <v>200.4</v>
      </c>
      <c r="I36" s="10" t="s">
        <v>304</v>
      </c>
      <c r="J36" s="21">
        <v>455.9</v>
      </c>
      <c r="K36" s="49" t="s">
        <v>321</v>
      </c>
      <c r="L36" s="22">
        <v>661.4</v>
      </c>
      <c r="M36" s="10" t="s">
        <v>339</v>
      </c>
      <c r="N36" s="21">
        <v>749.5</v>
      </c>
      <c r="O36" s="49" t="s">
        <v>357</v>
      </c>
      <c r="P36" s="22">
        <v>765.6</v>
      </c>
      <c r="Q36" s="10" t="s">
        <v>375</v>
      </c>
      <c r="R36" s="21">
        <v>765.6</v>
      </c>
      <c r="S36" s="49" t="s">
        <v>375</v>
      </c>
    </row>
    <row r="37" spans="1:19" ht="15" x14ac:dyDescent="0.2">
      <c r="A37" s="55" t="s">
        <v>1344</v>
      </c>
      <c r="B37" s="21">
        <v>0</v>
      </c>
      <c r="C37" s="49" t="s">
        <v>880</v>
      </c>
      <c r="D37" s="22">
        <v>1.2</v>
      </c>
      <c r="E37" s="10" t="s">
        <v>719</v>
      </c>
      <c r="F37" s="21">
        <v>70</v>
      </c>
      <c r="G37" s="49" t="s">
        <v>287</v>
      </c>
      <c r="H37" s="22">
        <v>264.3</v>
      </c>
      <c r="I37" s="10" t="s">
        <v>305</v>
      </c>
      <c r="J37" s="21">
        <v>585.5</v>
      </c>
      <c r="K37" s="49" t="s">
        <v>322</v>
      </c>
      <c r="L37" s="22">
        <v>854.2</v>
      </c>
      <c r="M37" s="10" t="s">
        <v>340</v>
      </c>
      <c r="N37" s="21">
        <v>1007.2</v>
      </c>
      <c r="O37" s="49" t="s">
        <v>358</v>
      </c>
      <c r="P37" s="22">
        <v>1038.5</v>
      </c>
      <c r="Q37" s="10" t="s">
        <v>376</v>
      </c>
      <c r="R37" s="21">
        <v>1038.5</v>
      </c>
      <c r="S37" s="49" t="s">
        <v>376</v>
      </c>
    </row>
    <row r="38" spans="1:19" ht="15" x14ac:dyDescent="0.2">
      <c r="A38" s="55" t="s">
        <v>1345</v>
      </c>
      <c r="B38" s="21">
        <v>0</v>
      </c>
      <c r="C38" s="49" t="s">
        <v>880</v>
      </c>
      <c r="D38" s="22">
        <v>0.7</v>
      </c>
      <c r="E38" s="10" t="s">
        <v>275</v>
      </c>
      <c r="F38" s="21">
        <v>64.8</v>
      </c>
      <c r="G38" s="49" t="s">
        <v>288</v>
      </c>
      <c r="H38" s="22">
        <v>255.9</v>
      </c>
      <c r="I38" s="10" t="s">
        <v>306</v>
      </c>
      <c r="J38" s="21">
        <v>562.79999999999995</v>
      </c>
      <c r="K38" s="49" t="s">
        <v>323</v>
      </c>
      <c r="L38" s="22">
        <v>827.8</v>
      </c>
      <c r="M38" s="10" t="s">
        <v>341</v>
      </c>
      <c r="N38" s="21">
        <v>951.1</v>
      </c>
      <c r="O38" s="49" t="s">
        <v>359</v>
      </c>
      <c r="P38" s="22">
        <v>970.2</v>
      </c>
      <c r="Q38" s="10" t="s">
        <v>377</v>
      </c>
      <c r="R38" s="21">
        <v>970.2</v>
      </c>
      <c r="S38" s="49" t="s">
        <v>377</v>
      </c>
    </row>
    <row r="39" spans="1:19" ht="15" x14ac:dyDescent="0.2">
      <c r="A39" s="55" t="s">
        <v>1346</v>
      </c>
      <c r="B39" s="21">
        <v>0</v>
      </c>
      <c r="C39" s="49" t="s">
        <v>880</v>
      </c>
      <c r="D39" s="22">
        <v>1.9</v>
      </c>
      <c r="E39" s="10" t="s">
        <v>276</v>
      </c>
      <c r="F39" s="21">
        <v>71.3</v>
      </c>
      <c r="G39" s="49" t="s">
        <v>289</v>
      </c>
      <c r="H39" s="22">
        <v>268</v>
      </c>
      <c r="I39" s="10" t="s">
        <v>307</v>
      </c>
      <c r="J39" s="21">
        <v>591.1</v>
      </c>
      <c r="K39" s="49" t="s">
        <v>324</v>
      </c>
      <c r="L39" s="22">
        <v>857.4</v>
      </c>
      <c r="M39" s="10" t="s">
        <v>342</v>
      </c>
      <c r="N39" s="21">
        <v>998</v>
      </c>
      <c r="O39" s="49" t="s">
        <v>360</v>
      </c>
      <c r="P39" s="22">
        <v>1029.9000000000001</v>
      </c>
      <c r="Q39" s="10" t="s">
        <v>378</v>
      </c>
      <c r="R39" s="21">
        <v>1030.0999999999999</v>
      </c>
      <c r="S39" s="49" t="s">
        <v>393</v>
      </c>
    </row>
    <row r="40" spans="1:19" ht="15" x14ac:dyDescent="0.2">
      <c r="A40" s="55"/>
      <c r="B40" s="21">
        <v>0</v>
      </c>
      <c r="C40" s="49" t="s">
        <v>880</v>
      </c>
      <c r="D40" s="22">
        <v>2.2000000000000002</v>
      </c>
      <c r="E40" s="10" t="s">
        <v>489</v>
      </c>
      <c r="F40" s="21">
        <v>78.5</v>
      </c>
      <c r="G40" s="49" t="s">
        <v>290</v>
      </c>
      <c r="H40" s="22">
        <v>289.7</v>
      </c>
      <c r="I40" s="10" t="s">
        <v>308</v>
      </c>
      <c r="J40" s="21">
        <v>626.4</v>
      </c>
      <c r="K40" s="49" t="s">
        <v>325</v>
      </c>
      <c r="L40" s="22">
        <v>906.6</v>
      </c>
      <c r="M40" s="10" t="s">
        <v>343</v>
      </c>
      <c r="N40" s="21">
        <v>1056.2</v>
      </c>
      <c r="O40" s="49" t="s">
        <v>361</v>
      </c>
      <c r="P40" s="22">
        <v>1092.5</v>
      </c>
      <c r="Q40" s="10" t="s">
        <v>379</v>
      </c>
      <c r="R40" s="21">
        <v>1093.0999999999999</v>
      </c>
      <c r="S40" s="49" t="s">
        <v>394</v>
      </c>
    </row>
    <row r="41" spans="1:19" ht="15" x14ac:dyDescent="0.2">
      <c r="A41" s="55" t="s">
        <v>1347</v>
      </c>
      <c r="B41" s="21">
        <v>0</v>
      </c>
      <c r="C41" s="49" t="s">
        <v>880</v>
      </c>
      <c r="D41" s="22">
        <v>0.2</v>
      </c>
      <c r="E41" s="10" t="s">
        <v>277</v>
      </c>
      <c r="F41" s="21">
        <v>71.400000000000006</v>
      </c>
      <c r="G41" s="49" t="s">
        <v>291</v>
      </c>
      <c r="H41" s="22">
        <v>278.39999999999998</v>
      </c>
      <c r="I41" s="10" t="s">
        <v>309</v>
      </c>
      <c r="J41" s="21">
        <v>601</v>
      </c>
      <c r="K41" s="49" t="s">
        <v>326</v>
      </c>
      <c r="L41" s="22">
        <v>864.2</v>
      </c>
      <c r="M41" s="10" t="s">
        <v>344</v>
      </c>
      <c r="N41" s="21">
        <v>1008.7</v>
      </c>
      <c r="O41" s="49" t="s">
        <v>362</v>
      </c>
      <c r="P41" s="22">
        <v>1033.5</v>
      </c>
      <c r="Q41" s="10" t="s">
        <v>380</v>
      </c>
      <c r="R41" s="21">
        <v>1033.8</v>
      </c>
      <c r="S41" s="49" t="s">
        <v>395</v>
      </c>
    </row>
    <row r="42" spans="1:19" ht="15" x14ac:dyDescent="0.2">
      <c r="A42" s="55" t="s">
        <v>1348</v>
      </c>
      <c r="B42" s="21">
        <v>0</v>
      </c>
      <c r="C42" s="49" t="s">
        <v>880</v>
      </c>
      <c r="D42" s="22">
        <v>6.4</v>
      </c>
      <c r="E42" s="10" t="s">
        <v>278</v>
      </c>
      <c r="F42" s="21">
        <v>106.3</v>
      </c>
      <c r="G42" s="49" t="s">
        <v>292</v>
      </c>
      <c r="H42" s="22">
        <v>351.5</v>
      </c>
      <c r="I42" s="10" t="s">
        <v>310</v>
      </c>
      <c r="J42" s="21">
        <v>712.4</v>
      </c>
      <c r="K42" s="49" t="s">
        <v>327</v>
      </c>
      <c r="L42" s="22">
        <v>999.1</v>
      </c>
      <c r="M42" s="10" t="s">
        <v>345</v>
      </c>
      <c r="N42" s="21">
        <v>1178.5</v>
      </c>
      <c r="O42" s="49" t="s">
        <v>363</v>
      </c>
      <c r="P42" s="22">
        <v>1214.2</v>
      </c>
      <c r="Q42" s="10" t="s">
        <v>381</v>
      </c>
      <c r="R42" s="21">
        <v>1216</v>
      </c>
      <c r="S42" s="49" t="s">
        <v>396</v>
      </c>
    </row>
    <row r="43" spans="1:19" ht="15" x14ac:dyDescent="0.2">
      <c r="A43" s="55" t="s">
        <v>1349</v>
      </c>
      <c r="B43" s="21">
        <v>0</v>
      </c>
      <c r="C43" s="49" t="s">
        <v>880</v>
      </c>
      <c r="D43" s="22">
        <v>2</v>
      </c>
      <c r="E43" s="10" t="s">
        <v>547</v>
      </c>
      <c r="F43" s="21">
        <v>67.2</v>
      </c>
      <c r="G43" s="49" t="s">
        <v>293</v>
      </c>
      <c r="H43" s="22">
        <v>236.9</v>
      </c>
      <c r="I43" s="10" t="s">
        <v>311</v>
      </c>
      <c r="J43" s="21">
        <v>520</v>
      </c>
      <c r="K43" s="49" t="s">
        <v>328</v>
      </c>
      <c r="L43" s="22">
        <v>747.1</v>
      </c>
      <c r="M43" s="10" t="s">
        <v>346</v>
      </c>
      <c r="N43" s="21">
        <v>862.4</v>
      </c>
      <c r="O43" s="49" t="s">
        <v>364</v>
      </c>
      <c r="P43" s="22">
        <v>882.9</v>
      </c>
      <c r="Q43" s="10" t="s">
        <v>382</v>
      </c>
      <c r="R43" s="21">
        <v>883</v>
      </c>
      <c r="S43" s="49" t="s">
        <v>397</v>
      </c>
    </row>
    <row r="44" spans="1:19" ht="15" x14ac:dyDescent="0.2">
      <c r="A44" s="55" t="s">
        <v>1350</v>
      </c>
      <c r="B44" s="21">
        <v>0</v>
      </c>
      <c r="C44" s="49" t="s">
        <v>880</v>
      </c>
      <c r="D44" s="22">
        <v>1.5</v>
      </c>
      <c r="E44" s="10" t="s">
        <v>279</v>
      </c>
      <c r="F44" s="21">
        <v>78.5</v>
      </c>
      <c r="G44" s="49" t="s">
        <v>294</v>
      </c>
      <c r="H44" s="22">
        <v>293.89999999999998</v>
      </c>
      <c r="I44" s="10" t="s">
        <v>312</v>
      </c>
      <c r="J44" s="21">
        <v>627.1</v>
      </c>
      <c r="K44" s="49" t="s">
        <v>329</v>
      </c>
      <c r="L44" s="22">
        <v>895.8</v>
      </c>
      <c r="M44" s="10" t="s">
        <v>347</v>
      </c>
      <c r="N44" s="21">
        <v>1044.9000000000001</v>
      </c>
      <c r="O44" s="49" t="s">
        <v>365</v>
      </c>
      <c r="P44" s="22">
        <v>1071.5999999999999</v>
      </c>
      <c r="Q44" s="10" t="s">
        <v>383</v>
      </c>
      <c r="R44" s="21">
        <v>1071.5999999999999</v>
      </c>
      <c r="S44" s="49" t="s">
        <v>383</v>
      </c>
    </row>
    <row r="45" spans="1:19" ht="15" x14ac:dyDescent="0.2">
      <c r="A45" s="55" t="s">
        <v>1351</v>
      </c>
      <c r="B45" s="21">
        <v>0</v>
      </c>
      <c r="C45" s="49" t="s">
        <v>880</v>
      </c>
      <c r="D45" s="22">
        <v>0.7</v>
      </c>
      <c r="E45" s="10" t="s">
        <v>275</v>
      </c>
      <c r="F45" s="21">
        <v>64.7</v>
      </c>
      <c r="G45" s="49" t="s">
        <v>295</v>
      </c>
      <c r="H45" s="22">
        <v>248.4</v>
      </c>
      <c r="I45" s="10" t="s">
        <v>313</v>
      </c>
      <c r="J45" s="21">
        <v>548.5</v>
      </c>
      <c r="K45" s="49" t="s">
        <v>330</v>
      </c>
      <c r="L45" s="22">
        <v>789.1</v>
      </c>
      <c r="M45" s="10" t="s">
        <v>348</v>
      </c>
      <c r="N45" s="21">
        <v>915.6</v>
      </c>
      <c r="O45" s="49" t="s">
        <v>366</v>
      </c>
      <c r="P45" s="22">
        <v>943.5</v>
      </c>
      <c r="Q45" s="10" t="s">
        <v>384</v>
      </c>
      <c r="R45" s="21">
        <v>943.5</v>
      </c>
      <c r="S45" s="49" t="s">
        <v>384</v>
      </c>
    </row>
    <row r="46" spans="1:19" ht="15" x14ac:dyDescent="0.2">
      <c r="A46" s="55" t="s">
        <v>1352</v>
      </c>
      <c r="B46" s="21">
        <v>0</v>
      </c>
      <c r="C46" s="49" t="s">
        <v>880</v>
      </c>
      <c r="D46" s="22">
        <v>4.5999999999999996</v>
      </c>
      <c r="E46" s="10" t="s">
        <v>280</v>
      </c>
      <c r="F46" s="21">
        <v>94.5</v>
      </c>
      <c r="G46" s="49" t="s">
        <v>296</v>
      </c>
      <c r="H46" s="22">
        <v>319.10000000000002</v>
      </c>
      <c r="I46" s="10" t="s">
        <v>433</v>
      </c>
      <c r="J46" s="21">
        <v>661.5</v>
      </c>
      <c r="K46" s="49" t="s">
        <v>331</v>
      </c>
      <c r="L46" s="22">
        <v>945.2</v>
      </c>
      <c r="M46" s="10" t="s">
        <v>349</v>
      </c>
      <c r="N46" s="21">
        <v>1112.2</v>
      </c>
      <c r="O46" s="49" t="s">
        <v>367</v>
      </c>
      <c r="P46" s="22">
        <v>1146.5999999999999</v>
      </c>
      <c r="Q46" s="10" t="s">
        <v>385</v>
      </c>
      <c r="R46" s="21">
        <v>1148.5999999999999</v>
      </c>
      <c r="S46" s="49" t="s">
        <v>398</v>
      </c>
    </row>
    <row r="47" spans="1:19" ht="15" x14ac:dyDescent="0.2">
      <c r="A47" s="55" t="s">
        <v>1353</v>
      </c>
      <c r="B47" s="21">
        <v>0</v>
      </c>
      <c r="C47" s="49" t="s">
        <v>880</v>
      </c>
      <c r="D47" s="22">
        <v>2</v>
      </c>
      <c r="E47" s="10" t="s">
        <v>547</v>
      </c>
      <c r="F47" s="21">
        <v>82.9</v>
      </c>
      <c r="G47" s="49" t="s">
        <v>297</v>
      </c>
      <c r="H47" s="22">
        <v>312.2</v>
      </c>
      <c r="I47" s="10" t="s">
        <v>314</v>
      </c>
      <c r="J47" s="21">
        <v>656.2</v>
      </c>
      <c r="K47" s="49" t="s">
        <v>332</v>
      </c>
      <c r="L47" s="22">
        <v>949.2</v>
      </c>
      <c r="M47" s="10" t="s">
        <v>350</v>
      </c>
      <c r="N47" s="21">
        <v>1130.7</v>
      </c>
      <c r="O47" s="49" t="s">
        <v>368</v>
      </c>
      <c r="P47" s="22">
        <v>1164.5999999999999</v>
      </c>
      <c r="Q47" s="10" t="s">
        <v>386</v>
      </c>
      <c r="R47" s="21">
        <v>1165.9000000000001</v>
      </c>
      <c r="S47" s="49" t="s">
        <v>399</v>
      </c>
    </row>
    <row r="48" spans="1:19" ht="15" x14ac:dyDescent="0.2">
      <c r="A48" s="55" t="s">
        <v>1354</v>
      </c>
      <c r="B48" s="21">
        <v>0</v>
      </c>
      <c r="C48" s="49" t="s">
        <v>880</v>
      </c>
      <c r="D48" s="22">
        <v>2.2000000000000002</v>
      </c>
      <c r="E48" s="10" t="s">
        <v>489</v>
      </c>
      <c r="F48" s="21">
        <v>79</v>
      </c>
      <c r="G48" s="49" t="s">
        <v>298</v>
      </c>
      <c r="H48" s="22">
        <v>298.7</v>
      </c>
      <c r="I48" s="10" t="s">
        <v>315</v>
      </c>
      <c r="J48" s="21">
        <v>642.6</v>
      </c>
      <c r="K48" s="49" t="s">
        <v>333</v>
      </c>
      <c r="L48" s="22">
        <v>919</v>
      </c>
      <c r="M48" s="10" t="s">
        <v>351</v>
      </c>
      <c r="N48" s="21">
        <v>1084.4000000000001</v>
      </c>
      <c r="O48" s="49" t="s">
        <v>369</v>
      </c>
      <c r="P48" s="22">
        <v>1112.2</v>
      </c>
      <c r="Q48" s="10" t="s">
        <v>387</v>
      </c>
      <c r="R48" s="21">
        <v>1113.0999999999999</v>
      </c>
      <c r="S48" s="49" t="s">
        <v>400</v>
      </c>
    </row>
    <row r="49" spans="1:19" ht="15" x14ac:dyDescent="0.2">
      <c r="A49" s="55"/>
      <c r="B49" s="21">
        <v>0</v>
      </c>
      <c r="C49" s="49" t="s">
        <v>880</v>
      </c>
      <c r="D49" s="22">
        <v>4.4000000000000004</v>
      </c>
      <c r="E49" s="10" t="s">
        <v>281</v>
      </c>
      <c r="F49" s="21">
        <v>86.6</v>
      </c>
      <c r="G49" s="49" t="s">
        <v>299</v>
      </c>
      <c r="H49" s="22">
        <v>310</v>
      </c>
      <c r="I49" s="10" t="s">
        <v>316</v>
      </c>
      <c r="J49" s="21">
        <v>658.7</v>
      </c>
      <c r="K49" s="49" t="s">
        <v>334</v>
      </c>
      <c r="L49" s="22">
        <v>939.1</v>
      </c>
      <c r="M49" s="10" t="s">
        <v>352</v>
      </c>
      <c r="N49" s="21">
        <v>1103.8</v>
      </c>
      <c r="O49" s="49" t="s">
        <v>370</v>
      </c>
      <c r="P49" s="22">
        <v>1136.3</v>
      </c>
      <c r="Q49" s="10" t="s">
        <v>388</v>
      </c>
      <c r="R49" s="21">
        <v>1137.8</v>
      </c>
      <c r="S49" s="49" t="s">
        <v>401</v>
      </c>
    </row>
    <row r="50" spans="1:19" ht="15" x14ac:dyDescent="0.2">
      <c r="A50" s="55"/>
      <c r="B50" s="21">
        <v>0</v>
      </c>
      <c r="C50" s="49" t="s">
        <v>880</v>
      </c>
      <c r="D50" s="22">
        <v>5.3</v>
      </c>
      <c r="E50" s="10" t="s">
        <v>282</v>
      </c>
      <c r="F50" s="21">
        <v>97.4</v>
      </c>
      <c r="G50" s="49" t="s">
        <v>300</v>
      </c>
      <c r="H50" s="22">
        <v>335</v>
      </c>
      <c r="I50" s="10" t="s">
        <v>317</v>
      </c>
      <c r="J50" s="21">
        <v>694.5</v>
      </c>
      <c r="K50" s="49" t="s">
        <v>335</v>
      </c>
      <c r="L50" s="22">
        <v>994.5</v>
      </c>
      <c r="M50" s="10" t="s">
        <v>353</v>
      </c>
      <c r="N50" s="21">
        <v>1177.5999999999999</v>
      </c>
      <c r="O50" s="49" t="s">
        <v>371</v>
      </c>
      <c r="P50" s="22">
        <v>1214.4000000000001</v>
      </c>
      <c r="Q50" s="10" t="s">
        <v>389</v>
      </c>
      <c r="R50" s="21">
        <v>1216.4000000000001</v>
      </c>
      <c r="S50" s="49" t="s">
        <v>402</v>
      </c>
    </row>
    <row r="51" spans="1:19" ht="15" x14ac:dyDescent="0.2">
      <c r="A51" s="55" t="s">
        <v>1355</v>
      </c>
      <c r="B51" s="21">
        <v>0</v>
      </c>
      <c r="C51" s="49" t="s">
        <v>880</v>
      </c>
      <c r="D51" s="22">
        <v>3.4</v>
      </c>
      <c r="E51" s="10" t="s">
        <v>283</v>
      </c>
      <c r="F51" s="21">
        <v>82.5</v>
      </c>
      <c r="G51" s="49" t="s">
        <v>301</v>
      </c>
      <c r="H51" s="22">
        <v>328.2</v>
      </c>
      <c r="I51" s="10" t="s">
        <v>318</v>
      </c>
      <c r="J51" s="21">
        <v>715.5</v>
      </c>
      <c r="K51" s="49" t="s">
        <v>336</v>
      </c>
      <c r="L51" s="22">
        <v>1036.7</v>
      </c>
      <c r="M51" s="10" t="s">
        <v>354</v>
      </c>
      <c r="N51" s="21">
        <v>1240.5</v>
      </c>
      <c r="O51" s="49" t="s">
        <v>372</v>
      </c>
      <c r="P51" s="22">
        <v>1284.7</v>
      </c>
      <c r="Q51" s="10" t="s">
        <v>390</v>
      </c>
      <c r="R51" s="21">
        <v>1286.3</v>
      </c>
      <c r="S51" s="49" t="s">
        <v>403</v>
      </c>
    </row>
    <row r="52" spans="1:19" s="106" customFormat="1" ht="13.5" thickBot="1" x14ac:dyDescent="0.25">
      <c r="A52" s="100" t="s">
        <v>440</v>
      </c>
      <c r="B52" s="102">
        <f>AVERAGE(B34:B51)</f>
        <v>0</v>
      </c>
      <c r="C52" s="94"/>
      <c r="D52" s="104">
        <f>AVERAGE(D34:D51)</f>
        <v>2.6444444444444439</v>
      </c>
      <c r="E52" s="103"/>
      <c r="F52" s="93">
        <f>AVERAGE(F34:F51)</f>
        <v>80.677777777777777</v>
      </c>
      <c r="G52" s="94"/>
      <c r="H52" s="104">
        <f>AVERAGE(H34:H51)</f>
        <v>293.38888888888891</v>
      </c>
      <c r="I52" s="103"/>
      <c r="J52" s="93">
        <f>AVERAGE(J34:J51)</f>
        <v>626.00000000000011</v>
      </c>
      <c r="K52" s="94"/>
      <c r="L52" s="104">
        <f>AVERAGE(L34:L51)</f>
        <v>899.95000000000016</v>
      </c>
      <c r="M52" s="104"/>
      <c r="N52" s="93">
        <f>AVERAGE(N34:N51)</f>
        <v>1055.7444444444443</v>
      </c>
      <c r="O52" s="105"/>
      <c r="P52" s="104">
        <f>AVERAGE(P34:P51)</f>
        <v>1086.4444444444446</v>
      </c>
      <c r="Q52" s="104"/>
      <c r="R52" s="93">
        <f>AVERAGE(R34:R51)</f>
        <v>1087.3666666666668</v>
      </c>
      <c r="S52" s="94"/>
    </row>
    <row r="53" spans="1:19" ht="16.5" x14ac:dyDescent="0.2">
      <c r="A53" s="9" t="s">
        <v>1143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5" x14ac:dyDescent="0.2">
      <c r="A54" s="10" t="s">
        <v>1144</v>
      </c>
      <c r="B54" s="10"/>
      <c r="C54" s="16">
        <v>0</v>
      </c>
      <c r="D54" s="16"/>
      <c r="E54" s="16" t="s">
        <v>759</v>
      </c>
      <c r="F54" s="16"/>
      <c r="G54" s="16" t="s">
        <v>760</v>
      </c>
      <c r="H54" s="16"/>
      <c r="I54" s="16" t="s">
        <v>761</v>
      </c>
      <c r="J54" s="16"/>
      <c r="K54" s="16" t="s">
        <v>762</v>
      </c>
      <c r="L54" s="16"/>
      <c r="M54" s="16" t="s">
        <v>763</v>
      </c>
      <c r="N54" s="16"/>
      <c r="O54" s="16" t="s">
        <v>764</v>
      </c>
      <c r="P54" s="16"/>
      <c r="Q54" s="16" t="s">
        <v>765</v>
      </c>
      <c r="R54" s="16"/>
      <c r="S54" s="16" t="s">
        <v>766</v>
      </c>
    </row>
    <row r="55" spans="1:19" ht="15" x14ac:dyDescent="0.2">
      <c r="A55" s="10" t="s">
        <v>1145</v>
      </c>
      <c r="B55" s="10"/>
      <c r="C55" s="16">
        <v>0</v>
      </c>
      <c r="D55" s="16"/>
      <c r="E55" s="16" t="s">
        <v>767</v>
      </c>
      <c r="F55" s="16"/>
      <c r="G55" s="16" t="s">
        <v>768</v>
      </c>
      <c r="H55" s="16"/>
      <c r="I55" s="16" t="s">
        <v>769</v>
      </c>
      <c r="J55" s="16"/>
      <c r="K55" s="16" t="s">
        <v>770</v>
      </c>
      <c r="L55" s="16"/>
      <c r="M55" s="16" t="s">
        <v>771</v>
      </c>
      <c r="N55" s="16"/>
      <c r="O55" s="16" t="s">
        <v>772</v>
      </c>
      <c r="P55" s="16"/>
      <c r="Q55" s="16" t="s">
        <v>773</v>
      </c>
      <c r="R55" s="16"/>
      <c r="S55" s="16" t="s">
        <v>774</v>
      </c>
    </row>
    <row r="56" spans="1:19" ht="15" x14ac:dyDescent="0.2">
      <c r="A56" s="10" t="s">
        <v>1146</v>
      </c>
      <c r="B56" s="10"/>
      <c r="C56" s="16">
        <v>0</v>
      </c>
      <c r="D56" s="16"/>
      <c r="E56" s="16" t="s">
        <v>775</v>
      </c>
      <c r="F56" s="16"/>
      <c r="G56" s="16" t="s">
        <v>776</v>
      </c>
      <c r="H56" s="16"/>
      <c r="I56" s="16" t="s">
        <v>777</v>
      </c>
      <c r="J56" s="16"/>
      <c r="K56" s="16" t="s">
        <v>778</v>
      </c>
      <c r="L56" s="16"/>
      <c r="M56" s="16" t="s">
        <v>779</v>
      </c>
      <c r="N56" s="16"/>
      <c r="O56" s="16" t="s">
        <v>780</v>
      </c>
      <c r="P56" s="16"/>
      <c r="Q56" s="16" t="s">
        <v>781</v>
      </c>
      <c r="R56" s="16"/>
      <c r="S56" s="16" t="s">
        <v>782</v>
      </c>
    </row>
    <row r="57" spans="1:19" ht="15" x14ac:dyDescent="0.2">
      <c r="A57" s="10" t="s">
        <v>1147</v>
      </c>
      <c r="B57" s="10"/>
      <c r="C57" s="16">
        <v>0</v>
      </c>
      <c r="D57" s="16"/>
      <c r="E57" s="16" t="s">
        <v>783</v>
      </c>
      <c r="F57" s="16"/>
      <c r="G57" s="16" t="s">
        <v>784</v>
      </c>
      <c r="H57" s="16"/>
      <c r="I57" s="16" t="s">
        <v>785</v>
      </c>
      <c r="J57" s="16"/>
      <c r="K57" s="16" t="s">
        <v>786</v>
      </c>
      <c r="L57" s="16"/>
      <c r="M57" s="16" t="s">
        <v>787</v>
      </c>
      <c r="N57" s="16"/>
      <c r="O57" s="16" t="s">
        <v>788</v>
      </c>
      <c r="P57" s="16"/>
      <c r="Q57" s="16" t="s">
        <v>789</v>
      </c>
      <c r="R57" s="16"/>
      <c r="S57" s="16" t="s">
        <v>790</v>
      </c>
    </row>
    <row r="58" spans="1:19" ht="15" x14ac:dyDescent="0.2">
      <c r="A58" s="10" t="s">
        <v>1148</v>
      </c>
      <c r="B58" s="10"/>
      <c r="C58" s="16">
        <v>0</v>
      </c>
      <c r="D58" s="16"/>
      <c r="E58" s="16" t="s">
        <v>791</v>
      </c>
      <c r="F58" s="16"/>
      <c r="G58" s="16" t="s">
        <v>792</v>
      </c>
      <c r="H58" s="16"/>
      <c r="I58" s="16" t="s">
        <v>793</v>
      </c>
      <c r="J58" s="16"/>
      <c r="K58" s="16" t="s">
        <v>794</v>
      </c>
      <c r="L58" s="16"/>
      <c r="M58" s="16" t="s">
        <v>795</v>
      </c>
      <c r="N58" s="16"/>
      <c r="O58" s="16" t="s">
        <v>796</v>
      </c>
      <c r="P58" s="16"/>
      <c r="Q58" s="16" t="s">
        <v>797</v>
      </c>
      <c r="R58" s="16"/>
      <c r="S58" s="16" t="s">
        <v>798</v>
      </c>
    </row>
    <row r="59" spans="1:19" ht="15" x14ac:dyDescent="0.2">
      <c r="A59" s="10" t="s">
        <v>1149</v>
      </c>
      <c r="B59" s="10"/>
      <c r="C59" s="16">
        <v>0</v>
      </c>
      <c r="D59" s="16"/>
      <c r="E59" s="16" t="s">
        <v>799</v>
      </c>
      <c r="F59" s="16"/>
      <c r="G59" s="16" t="s">
        <v>800</v>
      </c>
      <c r="H59" s="16"/>
      <c r="I59" s="16" t="s">
        <v>801</v>
      </c>
      <c r="J59" s="16"/>
      <c r="K59" s="16" t="s">
        <v>802</v>
      </c>
      <c r="L59" s="16"/>
      <c r="M59" s="16" t="s">
        <v>803</v>
      </c>
      <c r="N59" s="16"/>
      <c r="O59" s="16" t="s">
        <v>804</v>
      </c>
      <c r="P59" s="16"/>
      <c r="Q59" s="16" t="s">
        <v>805</v>
      </c>
      <c r="R59" s="16"/>
      <c r="S59" s="16" t="s">
        <v>806</v>
      </c>
    </row>
    <row r="60" spans="1:19" ht="16.5" x14ac:dyDescent="0.2">
      <c r="A60" s="9" t="s">
        <v>1150</v>
      </c>
      <c r="B60" s="9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15" x14ac:dyDescent="0.2">
      <c r="A61" s="10" t="s">
        <v>1151</v>
      </c>
      <c r="B61" s="10"/>
      <c r="C61" s="16" t="s">
        <v>880</v>
      </c>
      <c r="D61" s="16"/>
      <c r="E61" s="16" t="s">
        <v>807</v>
      </c>
      <c r="F61" s="16"/>
      <c r="G61" s="16" t="s">
        <v>808</v>
      </c>
      <c r="H61" s="16"/>
      <c r="I61" s="16" t="s">
        <v>809</v>
      </c>
      <c r="J61" s="16"/>
      <c r="K61" s="16" t="s">
        <v>810</v>
      </c>
      <c r="L61" s="16"/>
      <c r="M61" s="16" t="s">
        <v>811</v>
      </c>
      <c r="N61" s="16"/>
      <c r="O61" s="16" t="s">
        <v>812</v>
      </c>
      <c r="P61" s="16"/>
      <c r="Q61" s="16" t="s">
        <v>813</v>
      </c>
      <c r="R61" s="16"/>
      <c r="S61" s="16" t="s">
        <v>814</v>
      </c>
    </row>
    <row r="62" spans="1:19" ht="15" x14ac:dyDescent="0.2">
      <c r="A62" s="10" t="s">
        <v>1152</v>
      </c>
      <c r="B62" s="10"/>
      <c r="C62" s="16" t="s">
        <v>880</v>
      </c>
      <c r="D62" s="16"/>
      <c r="E62" s="16" t="s">
        <v>815</v>
      </c>
      <c r="F62" s="16"/>
      <c r="G62" s="16" t="s">
        <v>816</v>
      </c>
      <c r="H62" s="16"/>
      <c r="I62" s="16" t="s">
        <v>817</v>
      </c>
      <c r="J62" s="16"/>
      <c r="K62" s="16" t="s">
        <v>818</v>
      </c>
      <c r="L62" s="16"/>
      <c r="M62" s="16" t="s">
        <v>819</v>
      </c>
      <c r="N62" s="16"/>
      <c r="O62" s="16" t="s">
        <v>820</v>
      </c>
      <c r="P62" s="16"/>
      <c r="Q62" s="16" t="s">
        <v>821</v>
      </c>
      <c r="R62" s="16"/>
      <c r="S62" s="16" t="s">
        <v>822</v>
      </c>
    </row>
    <row r="63" spans="1:19" ht="15" x14ac:dyDescent="0.2">
      <c r="A63" s="10" t="s">
        <v>1153</v>
      </c>
      <c r="B63" s="10"/>
      <c r="C63" s="16" t="s">
        <v>880</v>
      </c>
      <c r="D63" s="16"/>
      <c r="E63" s="16" t="s">
        <v>823</v>
      </c>
      <c r="F63" s="16"/>
      <c r="G63" s="16" t="s">
        <v>824</v>
      </c>
      <c r="H63" s="16"/>
      <c r="I63" s="16" t="s">
        <v>825</v>
      </c>
      <c r="J63" s="16"/>
      <c r="K63" s="16" t="s">
        <v>826</v>
      </c>
      <c r="L63" s="16"/>
      <c r="M63" s="16" t="s">
        <v>827</v>
      </c>
      <c r="N63" s="16"/>
      <c r="O63" s="16" t="s">
        <v>828</v>
      </c>
      <c r="P63" s="16"/>
      <c r="Q63" s="16" t="s">
        <v>829</v>
      </c>
      <c r="R63" s="16"/>
      <c r="S63" s="16" t="s">
        <v>830</v>
      </c>
    </row>
    <row r="64" spans="1:19" ht="15" x14ac:dyDescent="0.2">
      <c r="A64" s="10" t="s">
        <v>1154</v>
      </c>
      <c r="B64" s="10"/>
      <c r="C64" s="16" t="s">
        <v>880</v>
      </c>
      <c r="D64" s="16"/>
      <c r="E64" s="16" t="s">
        <v>831</v>
      </c>
      <c r="F64" s="16"/>
      <c r="G64" s="16" t="s">
        <v>832</v>
      </c>
      <c r="H64" s="16"/>
      <c r="I64" s="16" t="s">
        <v>833</v>
      </c>
      <c r="J64" s="16"/>
      <c r="K64" s="16" t="s">
        <v>834</v>
      </c>
      <c r="L64" s="16"/>
      <c r="M64" s="16" t="s">
        <v>835</v>
      </c>
      <c r="N64" s="16"/>
      <c r="O64" s="16" t="s">
        <v>836</v>
      </c>
      <c r="P64" s="16"/>
      <c r="Q64" s="16" t="s">
        <v>837</v>
      </c>
      <c r="R64" s="16"/>
      <c r="S64" s="16" t="s">
        <v>838</v>
      </c>
    </row>
    <row r="65" spans="1:20" ht="15" x14ac:dyDescent="0.2">
      <c r="A65" s="10" t="s">
        <v>1155</v>
      </c>
      <c r="B65" s="10"/>
      <c r="C65" s="16" t="s">
        <v>880</v>
      </c>
      <c r="D65" s="16"/>
      <c r="E65" s="16" t="s">
        <v>839</v>
      </c>
      <c r="F65" s="16"/>
      <c r="G65" s="16" t="s">
        <v>840</v>
      </c>
      <c r="H65" s="16"/>
      <c r="I65" s="16" t="s">
        <v>841</v>
      </c>
      <c r="J65" s="16"/>
      <c r="K65" s="16" t="s">
        <v>842</v>
      </c>
      <c r="L65" s="16"/>
      <c r="M65" s="16" t="s">
        <v>843</v>
      </c>
      <c r="N65" s="16"/>
      <c r="O65" s="16" t="s">
        <v>844</v>
      </c>
      <c r="P65" s="16"/>
      <c r="Q65" s="16" t="s">
        <v>845</v>
      </c>
      <c r="R65" s="16"/>
      <c r="S65" s="16" t="s">
        <v>846</v>
      </c>
    </row>
    <row r="66" spans="1:20" ht="16.5" x14ac:dyDescent="0.2">
      <c r="A66" s="9" t="s">
        <v>1156</v>
      </c>
      <c r="B66" s="9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20" ht="15" x14ac:dyDescent="0.2">
      <c r="A67" s="10" t="s">
        <v>1157</v>
      </c>
      <c r="B67" s="10"/>
      <c r="C67" s="16" t="s">
        <v>880</v>
      </c>
      <c r="D67" s="16"/>
      <c r="E67" s="16" t="s">
        <v>847</v>
      </c>
      <c r="F67" s="16"/>
      <c r="G67" s="16" t="s">
        <v>848</v>
      </c>
      <c r="H67" s="16"/>
      <c r="I67" s="16" t="s">
        <v>849</v>
      </c>
      <c r="J67" s="16"/>
      <c r="K67" s="16" t="s">
        <v>850</v>
      </c>
      <c r="L67" s="16"/>
      <c r="M67" s="16" t="s">
        <v>851</v>
      </c>
      <c r="N67" s="16"/>
      <c r="O67" s="16" t="s">
        <v>852</v>
      </c>
      <c r="P67" s="16">
        <v>1112.5</v>
      </c>
      <c r="Q67" s="16" t="s">
        <v>853</v>
      </c>
      <c r="R67" s="16">
        <v>1143.5</v>
      </c>
      <c r="S67" s="16" t="s">
        <v>854</v>
      </c>
      <c r="T67">
        <v>1145.9000000000001</v>
      </c>
    </row>
    <row r="68" spans="1:20" ht="15" x14ac:dyDescent="0.2">
      <c r="A68" s="10" t="s">
        <v>1158</v>
      </c>
      <c r="B68" s="10"/>
      <c r="C68" s="16" t="s">
        <v>880</v>
      </c>
      <c r="D68" s="16"/>
      <c r="E68" s="16" t="s">
        <v>855</v>
      </c>
      <c r="F68" s="16"/>
      <c r="G68" s="16" t="s">
        <v>856</v>
      </c>
      <c r="H68" s="16"/>
      <c r="I68" s="16" t="s">
        <v>857</v>
      </c>
      <c r="J68" s="16"/>
      <c r="K68" s="16" t="s">
        <v>858</v>
      </c>
      <c r="L68" s="16"/>
      <c r="M68" s="16" t="s">
        <v>859</v>
      </c>
      <c r="N68" s="16"/>
      <c r="O68" s="16" t="s">
        <v>860</v>
      </c>
      <c r="P68" s="16">
        <v>1308</v>
      </c>
      <c r="Q68" s="16" t="s">
        <v>861</v>
      </c>
      <c r="R68" s="16">
        <v>1362.7</v>
      </c>
      <c r="S68" s="16" t="s">
        <v>862</v>
      </c>
      <c r="T68">
        <v>1367.7</v>
      </c>
    </row>
    <row r="69" spans="1:20" ht="15" x14ac:dyDescent="0.2">
      <c r="A69" s="10" t="s">
        <v>1159</v>
      </c>
      <c r="B69" s="10"/>
      <c r="C69" s="16" t="s">
        <v>880</v>
      </c>
      <c r="D69" s="16"/>
      <c r="E69" s="16" t="s">
        <v>863</v>
      </c>
      <c r="F69" s="16"/>
      <c r="G69" s="16" t="s">
        <v>864</v>
      </c>
      <c r="H69" s="16"/>
      <c r="I69" s="16" t="s">
        <v>865</v>
      </c>
      <c r="J69" s="16"/>
      <c r="K69" s="16" t="s">
        <v>866</v>
      </c>
      <c r="L69" s="16"/>
      <c r="M69" s="16" t="s">
        <v>867</v>
      </c>
      <c r="N69" s="16"/>
      <c r="O69" s="16" t="s">
        <v>868</v>
      </c>
      <c r="P69" s="16">
        <v>1134.2</v>
      </c>
      <c r="Q69" s="16" t="s">
        <v>869</v>
      </c>
      <c r="R69" s="16">
        <v>1166.5999999999999</v>
      </c>
      <c r="S69" s="16" t="s">
        <v>870</v>
      </c>
      <c r="T69">
        <v>1168.5999999999999</v>
      </c>
    </row>
    <row r="70" spans="1:20" ht="16.5" x14ac:dyDescent="0.2">
      <c r="A70" s="9" t="s">
        <v>1160</v>
      </c>
      <c r="B70" s="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>
        <f>AVERAGE(P67:P69)</f>
        <v>1184.8999999999999</v>
      </c>
      <c r="Q70" s="15"/>
      <c r="R70" s="15">
        <f>AVERAGE(R67:R69)</f>
        <v>1224.2666666666667</v>
      </c>
      <c r="S70" s="15"/>
      <c r="T70">
        <f>AVERAGE(T67:T69)</f>
        <v>1227.4000000000001</v>
      </c>
    </row>
    <row r="71" spans="1:20" ht="15" x14ac:dyDescent="0.2">
      <c r="A71" s="10" t="s">
        <v>1161</v>
      </c>
      <c r="B71" s="10"/>
      <c r="C71" s="16" t="s">
        <v>880</v>
      </c>
      <c r="D71" s="16"/>
      <c r="E71" s="16" t="s">
        <v>880</v>
      </c>
      <c r="F71" s="16"/>
      <c r="G71" s="16" t="s">
        <v>871</v>
      </c>
      <c r="H71" s="16"/>
      <c r="I71" s="16" t="s">
        <v>872</v>
      </c>
      <c r="J71" s="16"/>
      <c r="K71" s="16" t="s">
        <v>873</v>
      </c>
      <c r="L71" s="16"/>
      <c r="M71" s="16" t="s">
        <v>874</v>
      </c>
      <c r="N71" s="16"/>
      <c r="O71" s="16" t="s">
        <v>875</v>
      </c>
      <c r="P71" s="16"/>
      <c r="Q71" s="16" t="s">
        <v>876</v>
      </c>
      <c r="R71" s="16"/>
      <c r="S71" s="16" t="s">
        <v>876</v>
      </c>
    </row>
    <row r="72" spans="1:20" x14ac:dyDescent="0.2">
      <c r="Q72" s="13"/>
      <c r="R72" s="13"/>
      <c r="S72" s="13"/>
    </row>
    <row r="74" spans="1:20" x14ac:dyDescent="0.2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</sheetData>
  <mergeCells count="18">
    <mergeCell ref="B8:C8"/>
    <mergeCell ref="B9:C9"/>
    <mergeCell ref="F8:G8"/>
    <mergeCell ref="F9:G9"/>
    <mergeCell ref="D8:E8"/>
    <mergeCell ref="D9:E9"/>
    <mergeCell ref="H8:I8"/>
    <mergeCell ref="H9:I9"/>
    <mergeCell ref="N8:O8"/>
    <mergeCell ref="N9:O9"/>
    <mergeCell ref="L8:M8"/>
    <mergeCell ref="L9:M9"/>
    <mergeCell ref="R8:S8"/>
    <mergeCell ref="R9:S9"/>
    <mergeCell ref="P8:Q8"/>
    <mergeCell ref="P9:Q9"/>
    <mergeCell ref="J8:K8"/>
    <mergeCell ref="J9:K9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selection activeCell="A4" sqref="A4"/>
    </sheetView>
  </sheetViews>
  <sheetFormatPr baseColWidth="10" defaultRowHeight="12.75" x14ac:dyDescent="0.2"/>
  <cols>
    <col min="1" max="1" width="23.140625" customWidth="1"/>
    <col min="2" max="2" width="13.42578125" style="1" customWidth="1"/>
    <col min="3" max="13" width="11.42578125" style="1"/>
    <col min="14" max="14" width="14.28515625" style="1" customWidth="1"/>
    <col min="15" max="15" width="14.42578125" style="1" customWidth="1"/>
    <col min="16" max="16" width="13.7109375" style="13" customWidth="1"/>
    <col min="17" max="17" width="12.7109375" style="13" customWidth="1"/>
    <col min="18" max="18" width="14.140625" style="1" customWidth="1"/>
    <col min="19" max="19" width="13.5703125" style="1" customWidth="1"/>
  </cols>
  <sheetData>
    <row r="1" spans="1:19" ht="23.25" x14ac:dyDescent="0.35">
      <c r="A1" s="2"/>
      <c r="B1" s="86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3"/>
      <c r="Q1" s="113"/>
      <c r="R1" s="11"/>
      <c r="S1" s="11"/>
    </row>
    <row r="2" spans="1:19" x14ac:dyDescent="0.2">
      <c r="A2" s="4"/>
      <c r="B2" s="1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P2" s="113"/>
      <c r="Q2" s="113"/>
      <c r="R2" s="11"/>
      <c r="S2" s="11"/>
    </row>
    <row r="3" spans="1:19" ht="18" x14ac:dyDescent="0.3">
      <c r="A3" s="5"/>
      <c r="B3" s="87"/>
      <c r="C3" s="12"/>
      <c r="D3" s="12"/>
      <c r="E3" s="12" t="s">
        <v>1338</v>
      </c>
      <c r="F3" s="12"/>
      <c r="G3" s="12"/>
      <c r="H3" s="12"/>
      <c r="I3" s="12"/>
      <c r="J3" s="12"/>
      <c r="K3" s="12"/>
      <c r="L3" s="12"/>
      <c r="M3" s="12"/>
      <c r="N3" s="12"/>
      <c r="P3" s="113"/>
      <c r="Q3" s="113"/>
      <c r="R3" s="12"/>
      <c r="S3" s="12"/>
    </row>
    <row r="4" spans="1:19" x14ac:dyDescent="0.2">
      <c r="A4" s="6"/>
      <c r="B4" s="1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13"/>
      <c r="Q4" s="113"/>
      <c r="R4" s="12"/>
      <c r="S4" s="12"/>
    </row>
    <row r="5" spans="1:19" ht="15" x14ac:dyDescent="0.2">
      <c r="A5" s="7"/>
      <c r="B5" s="1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P5" s="113"/>
      <c r="Q5" s="113"/>
      <c r="R5" s="13"/>
      <c r="S5" s="13"/>
    </row>
    <row r="6" spans="1:19" ht="15" customHeight="1" x14ac:dyDescent="0.3">
      <c r="A6" s="8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P6" s="259"/>
      <c r="Q6" s="14"/>
      <c r="R6" s="14"/>
      <c r="S6" s="14"/>
    </row>
    <row r="7" spans="1:19" ht="15" customHeight="1" thickBot="1" x14ac:dyDescent="0.35">
      <c r="A7" s="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P7" s="259"/>
      <c r="Q7" s="14"/>
      <c r="R7" s="14"/>
      <c r="S7" s="14"/>
    </row>
    <row r="8" spans="1:19" ht="16.5" x14ac:dyDescent="0.2">
      <c r="A8" s="9" t="s">
        <v>1118</v>
      </c>
      <c r="B8" s="255" t="s">
        <v>1119</v>
      </c>
      <c r="C8" s="256"/>
      <c r="D8" s="260" t="s">
        <v>1119</v>
      </c>
      <c r="E8" s="256"/>
      <c r="F8" s="255" t="s">
        <v>1119</v>
      </c>
      <c r="G8" s="256"/>
      <c r="H8" s="260" t="s">
        <v>1119</v>
      </c>
      <c r="I8" s="260"/>
      <c r="J8" s="255" t="s">
        <v>1119</v>
      </c>
      <c r="K8" s="256"/>
      <c r="L8" s="260" t="s">
        <v>1119</v>
      </c>
      <c r="M8" s="260"/>
      <c r="N8" s="255" t="s">
        <v>1119</v>
      </c>
      <c r="O8" s="256"/>
      <c r="P8" s="260" t="s">
        <v>1119</v>
      </c>
      <c r="Q8" s="260"/>
      <c r="R8" s="255" t="s">
        <v>1119</v>
      </c>
      <c r="S8" s="256"/>
    </row>
    <row r="9" spans="1:19" ht="27.75" customHeight="1" x14ac:dyDescent="0.2">
      <c r="A9" s="9"/>
      <c r="B9" s="262" t="s">
        <v>877</v>
      </c>
      <c r="C9" s="263"/>
      <c r="D9" s="267" t="s">
        <v>878</v>
      </c>
      <c r="E9" s="263"/>
      <c r="F9" s="262" t="s">
        <v>879</v>
      </c>
      <c r="G9" s="263"/>
      <c r="H9" s="267" t="s">
        <v>1163</v>
      </c>
      <c r="I9" s="267"/>
      <c r="J9" s="262" t="s">
        <v>1218</v>
      </c>
      <c r="K9" s="263"/>
      <c r="L9" s="261" t="s">
        <v>1219</v>
      </c>
      <c r="M9" s="261"/>
      <c r="N9" s="257" t="s">
        <v>1294</v>
      </c>
      <c r="O9" s="258"/>
      <c r="P9" s="261" t="s">
        <v>1326</v>
      </c>
      <c r="Q9" s="261"/>
      <c r="R9" s="257" t="s">
        <v>1337</v>
      </c>
      <c r="S9" s="258"/>
    </row>
    <row r="10" spans="1:19" ht="16.5" x14ac:dyDescent="0.2">
      <c r="A10" s="9" t="s">
        <v>1120</v>
      </c>
      <c r="B10" s="18"/>
      <c r="C10" s="20"/>
      <c r="D10" s="19"/>
      <c r="E10" s="20"/>
      <c r="F10" s="18"/>
      <c r="G10" s="20"/>
      <c r="H10" s="19"/>
      <c r="I10" s="19"/>
      <c r="J10" s="18"/>
      <c r="K10" s="20"/>
      <c r="L10" s="19"/>
      <c r="M10" s="19"/>
      <c r="N10" s="18"/>
      <c r="O10" s="20"/>
      <c r="P10" s="19"/>
      <c r="Q10" s="19"/>
      <c r="R10" s="18"/>
      <c r="S10" s="20"/>
    </row>
    <row r="11" spans="1:19" ht="15" x14ac:dyDescent="0.2">
      <c r="A11" s="10" t="s">
        <v>1121</v>
      </c>
      <c r="B11" s="21">
        <v>10.4</v>
      </c>
      <c r="C11" s="23" t="s">
        <v>541</v>
      </c>
      <c r="D11" s="22">
        <v>14.3</v>
      </c>
      <c r="E11" s="23" t="s">
        <v>542</v>
      </c>
      <c r="F11" s="21">
        <v>83.5</v>
      </c>
      <c r="G11" s="23" t="s">
        <v>543</v>
      </c>
      <c r="H11" s="22">
        <v>235.3</v>
      </c>
      <c r="I11" s="22" t="s">
        <v>1164</v>
      </c>
      <c r="J11" s="21">
        <v>508</v>
      </c>
      <c r="K11" s="23" t="s">
        <v>1252</v>
      </c>
      <c r="L11" s="22">
        <v>762.4</v>
      </c>
      <c r="M11" s="22" t="s">
        <v>1220</v>
      </c>
      <c r="N11" s="21">
        <v>872.3</v>
      </c>
      <c r="O11" s="23" t="s">
        <v>1263</v>
      </c>
      <c r="P11" s="22">
        <v>887.7</v>
      </c>
      <c r="Q11" s="22" t="s">
        <v>1296</v>
      </c>
      <c r="R11" s="21">
        <v>887.9</v>
      </c>
      <c r="S11" s="23" t="s">
        <v>1327</v>
      </c>
    </row>
    <row r="12" spans="1:19" ht="17.25" thickBot="1" x14ac:dyDescent="0.25">
      <c r="A12" s="109" t="s">
        <v>440</v>
      </c>
      <c r="B12" s="21"/>
      <c r="C12" s="23"/>
      <c r="D12" s="22"/>
      <c r="E12" s="23"/>
      <c r="F12" s="21"/>
      <c r="G12" s="23"/>
      <c r="H12" s="22"/>
      <c r="I12" s="22"/>
      <c r="J12" s="18">
        <f>AVERAGE(J11)</f>
        <v>508</v>
      </c>
      <c r="K12" s="20"/>
      <c r="L12" s="19">
        <f>AVERAGE(L11)</f>
        <v>762.4</v>
      </c>
      <c r="M12" s="19"/>
      <c r="N12" s="18">
        <f>AVERAGE(N11)</f>
        <v>872.3</v>
      </c>
      <c r="O12" s="20"/>
      <c r="P12" s="266">
        <f>AVERAGE(P11)</f>
        <v>887.7</v>
      </c>
      <c r="Q12" s="19"/>
      <c r="R12" s="18">
        <f>AVERAGE(R11)</f>
        <v>887.9</v>
      </c>
      <c r="S12" s="23"/>
    </row>
    <row r="13" spans="1:19" ht="16.5" x14ac:dyDescent="0.2">
      <c r="A13" s="9" t="s">
        <v>1123</v>
      </c>
      <c r="B13" s="18"/>
      <c r="C13" s="20"/>
      <c r="D13" s="19"/>
      <c r="E13" s="20"/>
      <c r="F13" s="18"/>
      <c r="G13" s="20"/>
      <c r="H13" s="19"/>
      <c r="I13" s="19"/>
      <c r="J13" s="136"/>
      <c r="K13" s="137"/>
      <c r="L13" s="138"/>
      <c r="M13" s="138"/>
      <c r="N13" s="136"/>
      <c r="O13" s="137"/>
      <c r="P13" s="71"/>
      <c r="Q13" s="71"/>
      <c r="R13" s="136"/>
      <c r="S13" s="20"/>
    </row>
    <row r="14" spans="1:19" ht="15" x14ac:dyDescent="0.2">
      <c r="A14" s="10" t="s">
        <v>1124</v>
      </c>
      <c r="B14" s="21">
        <v>2.7</v>
      </c>
      <c r="C14" s="23" t="s">
        <v>544</v>
      </c>
      <c r="D14" s="22">
        <v>17.899999999999999</v>
      </c>
      <c r="E14" s="23" t="s">
        <v>545</v>
      </c>
      <c r="F14" s="21">
        <v>123.6</v>
      </c>
      <c r="G14" s="23" t="s">
        <v>546</v>
      </c>
      <c r="H14" s="22">
        <v>333.1</v>
      </c>
      <c r="I14" s="22" t="s">
        <v>1165</v>
      </c>
      <c r="J14" s="21">
        <v>653.5</v>
      </c>
      <c r="K14" s="23" t="s">
        <v>1199</v>
      </c>
      <c r="L14" s="22">
        <v>963.8</v>
      </c>
      <c r="M14" s="22" t="s">
        <v>1221</v>
      </c>
      <c r="N14" s="21">
        <v>1107.3</v>
      </c>
      <c r="O14" s="23" t="s">
        <v>1264</v>
      </c>
      <c r="P14" s="22">
        <v>1135.0999999999999</v>
      </c>
      <c r="Q14" s="22" t="s">
        <v>1297</v>
      </c>
      <c r="R14" s="21">
        <v>1135.0999999999999</v>
      </c>
      <c r="S14" s="23" t="s">
        <v>1297</v>
      </c>
    </row>
    <row r="15" spans="1:19" ht="15" x14ac:dyDescent="0.2">
      <c r="A15" s="10" t="s">
        <v>1125</v>
      </c>
      <c r="B15" s="21">
        <v>2</v>
      </c>
      <c r="C15" s="23" t="s">
        <v>547</v>
      </c>
      <c r="D15" s="22">
        <v>18</v>
      </c>
      <c r="E15" s="23" t="s">
        <v>548</v>
      </c>
      <c r="F15" s="21">
        <v>122.5</v>
      </c>
      <c r="G15" s="23" t="s">
        <v>549</v>
      </c>
      <c r="H15" s="22">
        <v>348.7</v>
      </c>
      <c r="I15" s="22" t="s">
        <v>1166</v>
      </c>
      <c r="J15" s="21">
        <v>671.7</v>
      </c>
      <c r="K15" s="23" t="s">
        <v>1200</v>
      </c>
      <c r="L15" s="22">
        <v>988.6</v>
      </c>
      <c r="M15" s="22" t="s">
        <v>1222</v>
      </c>
      <c r="N15" s="21">
        <v>1128</v>
      </c>
      <c r="O15" s="23" t="s">
        <v>1265</v>
      </c>
      <c r="P15" s="22">
        <v>1146.8</v>
      </c>
      <c r="Q15" s="22" t="s">
        <v>1298</v>
      </c>
      <c r="R15" s="21">
        <v>1146.8</v>
      </c>
      <c r="S15" s="23" t="s">
        <v>1298</v>
      </c>
    </row>
    <row r="16" spans="1:19" ht="15" x14ac:dyDescent="0.2">
      <c r="A16" s="10" t="s">
        <v>902</v>
      </c>
      <c r="B16" s="21">
        <v>5.7</v>
      </c>
      <c r="C16" s="23" t="s">
        <v>550</v>
      </c>
      <c r="D16" s="22">
        <v>25</v>
      </c>
      <c r="E16" s="23" t="s">
        <v>551</v>
      </c>
      <c r="F16" s="21">
        <v>150.69999999999999</v>
      </c>
      <c r="G16" s="23" t="s">
        <v>552</v>
      </c>
      <c r="H16" s="22">
        <v>391.9</v>
      </c>
      <c r="I16" s="22" t="s">
        <v>1167</v>
      </c>
      <c r="J16" s="21">
        <v>739</v>
      </c>
      <c r="K16" s="23" t="s">
        <v>1201</v>
      </c>
      <c r="L16" s="22">
        <v>1076.5999999999999</v>
      </c>
      <c r="M16" s="22" t="s">
        <v>1223</v>
      </c>
      <c r="N16" s="21">
        <v>1239.2</v>
      </c>
      <c r="O16" s="23" t="s">
        <v>1266</v>
      </c>
      <c r="P16" s="22">
        <v>1261.7</v>
      </c>
      <c r="Q16" s="22" t="s">
        <v>1299</v>
      </c>
      <c r="R16" s="21">
        <v>1261.7</v>
      </c>
      <c r="S16" s="23" t="s">
        <v>1299</v>
      </c>
    </row>
    <row r="17" spans="1:19" ht="17.25" thickBot="1" x14ac:dyDescent="0.25">
      <c r="A17" s="109" t="s">
        <v>440</v>
      </c>
      <c r="B17" s="21"/>
      <c r="C17" s="23"/>
      <c r="D17" s="22"/>
      <c r="E17" s="23"/>
      <c r="F17" s="21"/>
      <c r="G17" s="23"/>
      <c r="H17" s="22"/>
      <c r="I17" s="22"/>
      <c r="J17" s="18">
        <f>AVERAGE(J14:J16)</f>
        <v>688.06666666666661</v>
      </c>
      <c r="K17" s="20"/>
      <c r="L17" s="19">
        <f>AVERAGE(L14,L15)</f>
        <v>976.2</v>
      </c>
      <c r="M17" s="18"/>
      <c r="N17" s="18">
        <f>AVERAGE(N14,N15)</f>
        <v>1117.6500000000001</v>
      </c>
      <c r="O17" s="20"/>
      <c r="P17" s="266">
        <f>AVERAGE(P14:P16)</f>
        <v>1181.1999999999998</v>
      </c>
      <c r="Q17" s="19"/>
      <c r="R17" s="18">
        <f>AVERAGE(R14:R16)</f>
        <v>1181.1999999999998</v>
      </c>
      <c r="S17" s="23"/>
    </row>
    <row r="18" spans="1:19" ht="16.5" x14ac:dyDescent="0.2">
      <c r="A18" s="9" t="s">
        <v>1126</v>
      </c>
      <c r="B18" s="18"/>
      <c r="C18" s="20"/>
      <c r="D18" s="19"/>
      <c r="E18" s="20"/>
      <c r="F18" s="18"/>
      <c r="G18" s="20"/>
      <c r="H18" s="19"/>
      <c r="I18" s="19"/>
      <c r="J18" s="136"/>
      <c r="K18" s="137"/>
      <c r="L18" s="138"/>
      <c r="M18" s="138"/>
      <c r="N18" s="136"/>
      <c r="O18" s="137"/>
      <c r="P18" s="71"/>
      <c r="Q18" s="71"/>
      <c r="R18" s="136"/>
      <c r="S18" s="20"/>
    </row>
    <row r="19" spans="1:19" ht="15" x14ac:dyDescent="0.2">
      <c r="A19" s="10" t="s">
        <v>1127</v>
      </c>
      <c r="B19" s="21">
        <v>8.9</v>
      </c>
      <c r="C19" s="23" t="s">
        <v>553</v>
      </c>
      <c r="D19" s="22">
        <v>24.5</v>
      </c>
      <c r="E19" s="23" t="s">
        <v>554</v>
      </c>
      <c r="F19" s="21">
        <v>178.1</v>
      </c>
      <c r="G19" s="23" t="s">
        <v>555</v>
      </c>
      <c r="H19" s="22">
        <v>441.5</v>
      </c>
      <c r="I19" s="22" t="s">
        <v>1168</v>
      </c>
      <c r="J19" s="21">
        <v>773.6</v>
      </c>
      <c r="K19" s="23" t="s">
        <v>1202</v>
      </c>
      <c r="L19" s="22">
        <v>1109.4000000000001</v>
      </c>
      <c r="M19" s="22" t="s">
        <v>1224</v>
      </c>
      <c r="N19" s="21">
        <v>1267.7</v>
      </c>
      <c r="O19" s="23" t="s">
        <v>1267</v>
      </c>
      <c r="P19" s="22">
        <v>1309.5</v>
      </c>
      <c r="Q19" s="22" t="s">
        <v>1300</v>
      </c>
      <c r="R19" s="21">
        <v>1309.5</v>
      </c>
      <c r="S19" s="23" t="s">
        <v>1300</v>
      </c>
    </row>
    <row r="20" spans="1:19" ht="15" x14ac:dyDescent="0.2">
      <c r="A20" s="10" t="s">
        <v>1128</v>
      </c>
      <c r="B20" s="21">
        <v>21.4</v>
      </c>
      <c r="C20" s="23" t="s">
        <v>703</v>
      </c>
      <c r="D20" s="22">
        <v>40.6</v>
      </c>
      <c r="E20" s="23" t="s">
        <v>556</v>
      </c>
      <c r="F20" s="21">
        <v>201.2</v>
      </c>
      <c r="G20" s="23" t="s">
        <v>557</v>
      </c>
      <c r="H20" s="22">
        <v>455</v>
      </c>
      <c r="I20" s="22" t="s">
        <v>1169</v>
      </c>
      <c r="J20" s="21">
        <v>793.3</v>
      </c>
      <c r="K20" s="23" t="s">
        <v>1203</v>
      </c>
      <c r="L20" s="22">
        <v>1134.0999999999999</v>
      </c>
      <c r="M20" s="22" t="s">
        <v>1225</v>
      </c>
      <c r="N20" s="21">
        <v>1296.3</v>
      </c>
      <c r="O20" s="23" t="s">
        <v>1268</v>
      </c>
      <c r="P20" s="22">
        <v>1362.9</v>
      </c>
      <c r="Q20" s="22" t="s">
        <v>1301</v>
      </c>
      <c r="R20" s="21">
        <v>1367.7</v>
      </c>
      <c r="S20" s="23" t="s">
        <v>1328</v>
      </c>
    </row>
    <row r="21" spans="1:19" ht="17.25" thickBot="1" x14ac:dyDescent="0.25">
      <c r="A21" s="109" t="s">
        <v>440</v>
      </c>
      <c r="B21" s="21"/>
      <c r="C21" s="23"/>
      <c r="D21" s="22"/>
      <c r="E21" s="23"/>
      <c r="F21" s="21"/>
      <c r="G21" s="23"/>
      <c r="H21" s="22"/>
      <c r="I21" s="22"/>
      <c r="J21" s="18">
        <f>AVERAGE(J19:J20)</f>
        <v>783.45</v>
      </c>
      <c r="K21" s="20"/>
      <c r="L21" s="19">
        <f>AVERAGE(L19:L20)</f>
        <v>1121.75</v>
      </c>
      <c r="M21" s="18"/>
      <c r="N21" s="18">
        <f>AVERAGE(N19:N20)</f>
        <v>1282</v>
      </c>
      <c r="O21" s="20"/>
      <c r="P21" s="266">
        <f>AVERAGE(P19:P20)</f>
        <v>1336.2</v>
      </c>
      <c r="Q21" s="18"/>
      <c r="R21" s="18">
        <f>AVERAGE(R19:R20)</f>
        <v>1338.6</v>
      </c>
      <c r="S21" s="23"/>
    </row>
    <row r="22" spans="1:19" ht="16.5" x14ac:dyDescent="0.2">
      <c r="A22" s="9" t="s">
        <v>1129</v>
      </c>
      <c r="B22" s="18"/>
      <c r="C22" s="20"/>
      <c r="D22" s="19"/>
      <c r="E22" s="20"/>
      <c r="F22" s="18"/>
      <c r="G22" s="20"/>
      <c r="H22" s="19"/>
      <c r="I22" s="19"/>
      <c r="J22" s="136"/>
      <c r="K22" s="137"/>
      <c r="L22" s="138"/>
      <c r="M22" s="138"/>
      <c r="N22" s="136"/>
      <c r="O22" s="137"/>
      <c r="P22" s="71"/>
      <c r="Q22" s="71"/>
      <c r="R22" s="136"/>
      <c r="S22" s="20"/>
    </row>
    <row r="23" spans="1:19" ht="15" x14ac:dyDescent="0.2">
      <c r="A23" s="10" t="s">
        <v>1130</v>
      </c>
      <c r="B23" s="21">
        <v>8.1999999999999993</v>
      </c>
      <c r="C23" s="23" t="s">
        <v>558</v>
      </c>
      <c r="D23" s="22">
        <v>23.3</v>
      </c>
      <c r="E23" s="23" t="s">
        <v>559</v>
      </c>
      <c r="F23" s="21">
        <v>138.5</v>
      </c>
      <c r="G23" s="23" t="s">
        <v>560</v>
      </c>
      <c r="H23" s="22">
        <v>364.9</v>
      </c>
      <c r="I23" s="22" t="s">
        <v>1170</v>
      </c>
      <c r="J23" s="21">
        <v>661.7</v>
      </c>
      <c r="K23" s="23" t="s">
        <v>1253</v>
      </c>
      <c r="L23" s="22">
        <v>967.1</v>
      </c>
      <c r="M23" s="22" t="s">
        <v>1226</v>
      </c>
      <c r="N23" s="21">
        <v>1101.5</v>
      </c>
      <c r="O23" s="23" t="s">
        <v>1269</v>
      </c>
      <c r="P23" s="22">
        <v>1126.2</v>
      </c>
      <c r="Q23" s="22" t="s">
        <v>1302</v>
      </c>
      <c r="R23" s="21">
        <v>1126.2</v>
      </c>
      <c r="S23" s="23" t="s">
        <v>1302</v>
      </c>
    </row>
    <row r="24" spans="1:19" ht="15" x14ac:dyDescent="0.2">
      <c r="A24" s="10" t="s">
        <v>1131</v>
      </c>
      <c r="B24" s="21">
        <v>9.4</v>
      </c>
      <c r="C24" s="23" t="s">
        <v>561</v>
      </c>
      <c r="D24" s="22">
        <v>26.5</v>
      </c>
      <c r="E24" s="23" t="s">
        <v>562</v>
      </c>
      <c r="F24" s="21">
        <v>149.4</v>
      </c>
      <c r="G24" s="23" t="s">
        <v>563</v>
      </c>
      <c r="H24" s="22">
        <v>379.1</v>
      </c>
      <c r="I24" s="22" t="s">
        <v>1171</v>
      </c>
      <c r="J24" s="21">
        <v>693.1</v>
      </c>
      <c r="K24" s="23" t="s">
        <v>1254</v>
      </c>
      <c r="L24" s="22">
        <v>997.6</v>
      </c>
      <c r="M24" s="22" t="s">
        <v>1227</v>
      </c>
      <c r="N24" s="21">
        <v>1165.9000000000001</v>
      </c>
      <c r="O24" s="23" t="s">
        <v>1270</v>
      </c>
      <c r="P24" s="22">
        <v>1188.2</v>
      </c>
      <c r="Q24" s="22" t="s">
        <v>1303</v>
      </c>
      <c r="R24" s="21">
        <v>1188.2</v>
      </c>
      <c r="S24" s="23" t="s">
        <v>1303</v>
      </c>
    </row>
    <row r="25" spans="1:19" ht="17.25" thickBot="1" x14ac:dyDescent="0.25">
      <c r="A25" s="109" t="s">
        <v>440</v>
      </c>
      <c r="B25" s="21"/>
      <c r="C25" s="23"/>
      <c r="D25" s="22"/>
      <c r="E25" s="23"/>
      <c r="F25" s="21"/>
      <c r="G25" s="23"/>
      <c r="H25" s="22"/>
      <c r="I25" s="22"/>
      <c r="J25" s="18">
        <f>AVERAGE(J23:J24)</f>
        <v>677.40000000000009</v>
      </c>
      <c r="K25" s="20"/>
      <c r="L25" s="19">
        <f>AVERAGE(L23:L24)</f>
        <v>982.35</v>
      </c>
      <c r="M25" s="18"/>
      <c r="N25" s="18">
        <f>AVERAGE(N23:N24)</f>
        <v>1133.7</v>
      </c>
      <c r="O25" s="20"/>
      <c r="P25" s="266">
        <f>AVERAGE(P23:P24)</f>
        <v>1157.2</v>
      </c>
      <c r="Q25" s="18"/>
      <c r="R25" s="18">
        <f>AVERAGE(R23:R24)</f>
        <v>1157.2</v>
      </c>
      <c r="S25" s="23"/>
    </row>
    <row r="26" spans="1:19" ht="16.5" x14ac:dyDescent="0.2">
      <c r="A26" s="9" t="s">
        <v>1132</v>
      </c>
      <c r="B26" s="18"/>
      <c r="C26" s="20"/>
      <c r="D26" s="19"/>
      <c r="E26" s="20"/>
      <c r="F26" s="18"/>
      <c r="G26" s="20"/>
      <c r="H26" s="19"/>
      <c r="I26" s="19"/>
      <c r="J26" s="136"/>
      <c r="K26" s="137"/>
      <c r="L26" s="138"/>
      <c r="M26" s="138"/>
      <c r="N26" s="136"/>
      <c r="O26" s="137"/>
      <c r="P26" s="71"/>
      <c r="Q26" s="71"/>
      <c r="R26" s="136"/>
      <c r="S26" s="20"/>
    </row>
    <row r="27" spans="1:19" ht="15" x14ac:dyDescent="0.2">
      <c r="A27" s="10" t="s">
        <v>1133</v>
      </c>
      <c r="B27" s="21">
        <v>18.8</v>
      </c>
      <c r="C27" s="23" t="s">
        <v>564</v>
      </c>
      <c r="D27" s="22">
        <v>37</v>
      </c>
      <c r="E27" s="23" t="s">
        <v>565</v>
      </c>
      <c r="F27" s="21">
        <v>185</v>
      </c>
      <c r="G27" s="23" t="s">
        <v>566</v>
      </c>
      <c r="H27" s="22">
        <v>423.9</v>
      </c>
      <c r="I27" s="22" t="s">
        <v>1172</v>
      </c>
      <c r="J27" s="21">
        <v>739.8</v>
      </c>
      <c r="K27" s="23" t="s">
        <v>1204</v>
      </c>
      <c r="L27" s="22">
        <v>1060.2</v>
      </c>
      <c r="M27" s="22" t="s">
        <v>1228</v>
      </c>
      <c r="N27" s="21">
        <v>1192</v>
      </c>
      <c r="O27" s="23" t="s">
        <v>1271</v>
      </c>
      <c r="P27" s="22">
        <v>1249.4000000000001</v>
      </c>
      <c r="Q27" s="22" t="s">
        <v>1304</v>
      </c>
      <c r="R27" s="21">
        <v>1250.2</v>
      </c>
      <c r="S27" s="23" t="s">
        <v>1329</v>
      </c>
    </row>
    <row r="28" spans="1:19" ht="15" x14ac:dyDescent="0.2">
      <c r="A28" s="10" t="s">
        <v>1134</v>
      </c>
      <c r="B28" s="21">
        <v>26.3</v>
      </c>
      <c r="C28" s="23" t="s">
        <v>567</v>
      </c>
      <c r="D28" s="22">
        <v>44.5</v>
      </c>
      <c r="E28" s="23" t="s">
        <v>568</v>
      </c>
      <c r="F28" s="21">
        <v>194.2</v>
      </c>
      <c r="G28" s="23" t="s">
        <v>569</v>
      </c>
      <c r="H28" s="22">
        <v>427.8</v>
      </c>
      <c r="I28" s="22" t="s">
        <v>1173</v>
      </c>
      <c r="J28" s="21">
        <v>747.7</v>
      </c>
      <c r="K28" s="23" t="s">
        <v>1205</v>
      </c>
      <c r="L28" s="22">
        <v>1081</v>
      </c>
      <c r="M28" s="22" t="s">
        <v>1229</v>
      </c>
      <c r="N28" s="21">
        <v>1222.3</v>
      </c>
      <c r="O28" s="23" t="s">
        <v>1272</v>
      </c>
      <c r="P28" s="22">
        <v>1277.8</v>
      </c>
      <c r="Q28" s="22" t="s">
        <v>1305</v>
      </c>
      <c r="R28" s="21">
        <v>1282.0999999999999</v>
      </c>
      <c r="S28" s="23" t="s">
        <v>1330</v>
      </c>
    </row>
    <row r="29" spans="1:19" ht="15" x14ac:dyDescent="0.2">
      <c r="A29" s="10" t="s">
        <v>1135</v>
      </c>
      <c r="B29" s="21">
        <v>13.5</v>
      </c>
      <c r="C29" s="23" t="s">
        <v>570</v>
      </c>
      <c r="D29" s="22">
        <v>28.8</v>
      </c>
      <c r="E29" s="23" t="s">
        <v>571</v>
      </c>
      <c r="F29" s="21">
        <v>167.3</v>
      </c>
      <c r="G29" s="23" t="s">
        <v>572</v>
      </c>
      <c r="H29" s="22">
        <v>399.3</v>
      </c>
      <c r="I29" s="22" t="s">
        <v>1174</v>
      </c>
      <c r="J29" s="21">
        <v>709.7</v>
      </c>
      <c r="K29" s="23" t="s">
        <v>1255</v>
      </c>
      <c r="L29" s="22">
        <v>1036.0999999999999</v>
      </c>
      <c r="M29" s="22" t="s">
        <v>1230</v>
      </c>
      <c r="N29" s="21">
        <v>1159.2</v>
      </c>
      <c r="O29" s="23" t="s">
        <v>1273</v>
      </c>
      <c r="P29" s="22">
        <v>1220.2</v>
      </c>
      <c r="Q29" s="22" t="s">
        <v>1306</v>
      </c>
      <c r="R29" s="21">
        <v>1221.7</v>
      </c>
      <c r="S29" s="23" t="s">
        <v>1331</v>
      </c>
    </row>
    <row r="30" spans="1:19" ht="15.75" thickBot="1" x14ac:dyDescent="0.25">
      <c r="A30" s="109" t="s">
        <v>440</v>
      </c>
      <c r="B30" s="21"/>
      <c r="C30" s="23"/>
      <c r="D30" s="22"/>
      <c r="E30" s="23"/>
      <c r="F30" s="21"/>
      <c r="G30" s="23"/>
      <c r="H30" s="22"/>
      <c r="I30" s="22"/>
      <c r="J30" s="21"/>
      <c r="K30" s="23"/>
      <c r="L30" s="22"/>
      <c r="M30" s="22"/>
      <c r="N30" s="21"/>
      <c r="O30" s="23"/>
      <c r="P30" s="22"/>
      <c r="Q30" s="22"/>
      <c r="R30" s="21"/>
      <c r="S30" s="23"/>
    </row>
    <row r="31" spans="1:19" ht="16.5" x14ac:dyDescent="0.2">
      <c r="A31" s="9" t="s">
        <v>1136</v>
      </c>
      <c r="B31" s="18"/>
      <c r="C31" s="20"/>
      <c r="D31" s="19"/>
      <c r="E31" s="20"/>
      <c r="F31" s="18"/>
      <c r="G31" s="20"/>
      <c r="H31" s="19"/>
      <c r="I31" s="19"/>
      <c r="J31" s="18">
        <f>AVERAGE(J27:J29)</f>
        <v>732.4</v>
      </c>
      <c r="K31" s="20"/>
      <c r="L31" s="19">
        <f>AVERAGE(L27:L29)</f>
        <v>1059.0999999999999</v>
      </c>
      <c r="M31" s="18"/>
      <c r="N31" s="18">
        <f>AVERAGE(N27:N29)</f>
        <v>1191.1666666666667</v>
      </c>
      <c r="O31" s="20"/>
      <c r="P31" s="266">
        <f>AVERAGE(P27:P29)</f>
        <v>1249.1333333333332</v>
      </c>
      <c r="Q31" s="18"/>
      <c r="R31" s="114">
        <f>AVERAGE(R27:R29)</f>
        <v>1251.3333333333333</v>
      </c>
      <c r="S31" s="20"/>
    </row>
    <row r="32" spans="1:19" ht="15" x14ac:dyDescent="0.2">
      <c r="A32" s="10" t="s">
        <v>1137</v>
      </c>
      <c r="B32" s="21">
        <v>3.1</v>
      </c>
      <c r="C32" s="23" t="s">
        <v>573</v>
      </c>
      <c r="D32" s="22">
        <v>11.8</v>
      </c>
      <c r="E32" s="23" t="s">
        <v>574</v>
      </c>
      <c r="F32" s="21">
        <v>129.5</v>
      </c>
      <c r="G32" s="23" t="s">
        <v>575</v>
      </c>
      <c r="H32" s="22">
        <v>352.5</v>
      </c>
      <c r="I32" s="22" t="s">
        <v>1175</v>
      </c>
      <c r="J32" s="21">
        <v>660.3</v>
      </c>
      <c r="K32" s="23" t="s">
        <v>1206</v>
      </c>
      <c r="L32" s="22">
        <v>948</v>
      </c>
      <c r="M32" s="22" t="s">
        <v>1231</v>
      </c>
      <c r="N32" s="21">
        <v>1053.8</v>
      </c>
      <c r="O32" s="23" t="s">
        <v>1274</v>
      </c>
      <c r="P32" s="22">
        <v>1081.3</v>
      </c>
      <c r="Q32" s="22" t="s">
        <v>1307</v>
      </c>
      <c r="R32" s="21">
        <v>1081.3</v>
      </c>
      <c r="S32" s="23" t="s">
        <v>1307</v>
      </c>
    </row>
    <row r="33" spans="1:19" ht="15" x14ac:dyDescent="0.2">
      <c r="A33" s="10" t="s">
        <v>1138</v>
      </c>
      <c r="B33" s="21">
        <v>12.6</v>
      </c>
      <c r="C33" s="23" t="s">
        <v>576</v>
      </c>
      <c r="D33" s="22">
        <v>28.2</v>
      </c>
      <c r="E33" s="23" t="s">
        <v>577</v>
      </c>
      <c r="F33" s="21">
        <v>187.4</v>
      </c>
      <c r="G33" s="23" t="s">
        <v>578</v>
      </c>
      <c r="H33" s="22">
        <v>457.4</v>
      </c>
      <c r="I33" s="22" t="s">
        <v>1176</v>
      </c>
      <c r="J33" s="21">
        <v>806.8</v>
      </c>
      <c r="K33" s="23" t="s">
        <v>1256</v>
      </c>
      <c r="L33" s="22">
        <v>1139.3</v>
      </c>
      <c r="M33" s="22" t="s">
        <v>1232</v>
      </c>
      <c r="N33" s="21">
        <v>1289.3</v>
      </c>
      <c r="O33" s="23" t="s">
        <v>1275</v>
      </c>
      <c r="P33" s="22">
        <v>1331.8</v>
      </c>
      <c r="Q33" s="22" t="s">
        <v>1308</v>
      </c>
      <c r="R33" s="21">
        <v>1331.8</v>
      </c>
      <c r="S33" s="23" t="s">
        <v>1308</v>
      </c>
    </row>
    <row r="34" spans="1:19" ht="15.75" thickBot="1" x14ac:dyDescent="0.25">
      <c r="A34" s="109" t="s">
        <v>440</v>
      </c>
      <c r="B34" s="21"/>
      <c r="C34" s="23"/>
      <c r="D34" s="22"/>
      <c r="E34" s="23"/>
      <c r="F34" s="21"/>
      <c r="G34" s="23"/>
      <c r="H34" s="22"/>
      <c r="I34" s="22"/>
      <c r="J34" s="21"/>
      <c r="K34" s="23"/>
      <c r="L34" s="22"/>
      <c r="M34" s="22"/>
      <c r="N34" s="21"/>
      <c r="O34" s="23"/>
      <c r="P34" s="22"/>
      <c r="Q34" s="22"/>
      <c r="R34" s="21"/>
      <c r="S34" s="23"/>
    </row>
    <row r="35" spans="1:19" ht="16.5" x14ac:dyDescent="0.2">
      <c r="A35" s="9" t="s">
        <v>1139</v>
      </c>
      <c r="B35" s="18"/>
      <c r="C35" s="20"/>
      <c r="D35" s="19"/>
      <c r="E35" s="20"/>
      <c r="F35" s="18"/>
      <c r="G35" s="20"/>
      <c r="H35" s="19"/>
      <c r="I35" s="19"/>
      <c r="J35" s="18">
        <f>AVERAGE(J32:J33)</f>
        <v>733.55</v>
      </c>
      <c r="K35" s="20"/>
      <c r="L35" s="19">
        <f>AVERAGE(L32:L33)</f>
        <v>1043.6500000000001</v>
      </c>
      <c r="M35" s="18"/>
      <c r="N35" s="18">
        <f>AVERAGE(N32:N33)</f>
        <v>1171.55</v>
      </c>
      <c r="O35" s="20"/>
      <c r="P35" s="266">
        <f>AVERAGE(P32:P33)</f>
        <v>1206.55</v>
      </c>
      <c r="Q35" s="18"/>
      <c r="R35" s="18">
        <f>AVERAGE(R32:R33)</f>
        <v>1206.55</v>
      </c>
      <c r="S35" s="20"/>
    </row>
    <row r="36" spans="1:19" ht="15" x14ac:dyDescent="0.2">
      <c r="A36" s="10" t="s">
        <v>1140</v>
      </c>
      <c r="B36" s="21">
        <v>9.3000000000000007</v>
      </c>
      <c r="C36" s="23" t="s">
        <v>579</v>
      </c>
      <c r="D36" s="22">
        <v>19.100000000000001</v>
      </c>
      <c r="E36" s="23" t="s">
        <v>580</v>
      </c>
      <c r="F36" s="21">
        <v>144.4</v>
      </c>
      <c r="G36" s="23" t="s">
        <v>581</v>
      </c>
      <c r="H36" s="22">
        <v>371.8</v>
      </c>
      <c r="I36" s="22" t="s">
        <v>1177</v>
      </c>
      <c r="J36" s="21">
        <v>664.1</v>
      </c>
      <c r="K36" s="23" t="s">
        <v>1257</v>
      </c>
      <c r="L36" s="22">
        <v>940.4</v>
      </c>
      <c r="M36" s="22" t="s">
        <v>1233</v>
      </c>
      <c r="N36" s="21">
        <v>1043.8</v>
      </c>
      <c r="O36" s="23" t="s">
        <v>1276</v>
      </c>
      <c r="P36" s="22">
        <v>1081.0999999999999</v>
      </c>
      <c r="Q36" s="22" t="s">
        <v>1309</v>
      </c>
      <c r="R36" s="21">
        <v>1081.0999999999999</v>
      </c>
      <c r="S36" s="23" t="s">
        <v>1309</v>
      </c>
    </row>
    <row r="37" spans="1:19" ht="15" x14ac:dyDescent="0.2">
      <c r="A37" s="10" t="s">
        <v>1141</v>
      </c>
      <c r="B37" s="21" t="s">
        <v>582</v>
      </c>
      <c r="C37" s="23" t="s">
        <v>582</v>
      </c>
      <c r="D37" s="22" t="s">
        <v>583</v>
      </c>
      <c r="E37" s="23" t="s">
        <v>583</v>
      </c>
      <c r="F37" s="21" t="s">
        <v>584</v>
      </c>
      <c r="G37" s="23" t="s">
        <v>584</v>
      </c>
      <c r="H37" s="22" t="s">
        <v>1178</v>
      </c>
      <c r="I37" s="22" t="s">
        <v>1178</v>
      </c>
      <c r="J37" s="21">
        <v>782.9</v>
      </c>
      <c r="K37" s="23" t="s">
        <v>1198</v>
      </c>
      <c r="L37" s="22">
        <v>1103</v>
      </c>
      <c r="M37" s="22" t="s">
        <v>1234</v>
      </c>
      <c r="N37" s="21">
        <v>1262.5</v>
      </c>
      <c r="O37" s="23" t="s">
        <v>1277</v>
      </c>
      <c r="P37" s="22">
        <v>1316.4</v>
      </c>
      <c r="Q37" s="22" t="s">
        <v>1295</v>
      </c>
      <c r="R37" s="21">
        <v>1316.4</v>
      </c>
      <c r="S37" s="23" t="s">
        <v>1295</v>
      </c>
    </row>
    <row r="38" spans="1:19" ht="15" x14ac:dyDescent="0.2">
      <c r="A38" s="10" t="s">
        <v>1142</v>
      </c>
      <c r="B38" s="21">
        <v>27.5</v>
      </c>
      <c r="C38" s="23" t="s">
        <v>585</v>
      </c>
      <c r="D38" s="22">
        <v>45.1</v>
      </c>
      <c r="E38" s="23" t="s">
        <v>586</v>
      </c>
      <c r="F38" s="21">
        <v>210</v>
      </c>
      <c r="G38" s="23" t="s">
        <v>587</v>
      </c>
      <c r="H38" s="22">
        <v>474.4</v>
      </c>
      <c r="I38" s="22" t="s">
        <v>1179</v>
      </c>
      <c r="J38" s="21">
        <v>836.9</v>
      </c>
      <c r="K38" s="23" t="s">
        <v>1258</v>
      </c>
      <c r="L38" s="22">
        <v>1175.2</v>
      </c>
      <c r="M38" s="22" t="s">
        <v>1235</v>
      </c>
      <c r="N38" s="21">
        <v>1337.5</v>
      </c>
      <c r="O38" s="23" t="s">
        <v>1278</v>
      </c>
      <c r="P38" s="22">
        <v>1378</v>
      </c>
      <c r="Q38" s="22" t="s">
        <v>1310</v>
      </c>
      <c r="R38" s="21">
        <v>1378</v>
      </c>
      <c r="S38" s="23" t="s">
        <v>1310</v>
      </c>
    </row>
    <row r="39" spans="1:19" ht="17.25" thickBot="1" x14ac:dyDescent="0.25">
      <c r="A39" s="109" t="s">
        <v>440</v>
      </c>
      <c r="B39" s="21"/>
      <c r="C39" s="23"/>
      <c r="D39" s="22"/>
      <c r="E39" s="23"/>
      <c r="F39" s="21"/>
      <c r="G39" s="23"/>
      <c r="H39" s="22"/>
      <c r="I39" s="22"/>
      <c r="J39" s="18">
        <f>AVERAGE(J36:J38)</f>
        <v>761.30000000000007</v>
      </c>
      <c r="K39" s="20"/>
      <c r="L39" s="19">
        <f>AVERAGE(L36:L38)</f>
        <v>1072.8666666666668</v>
      </c>
      <c r="M39" s="18"/>
      <c r="N39" s="18">
        <f>AVERAGE(N36:N38)</f>
        <v>1214.6000000000001</v>
      </c>
      <c r="O39" s="20"/>
      <c r="P39" s="266">
        <f>AVERAGE(P36:P38)</f>
        <v>1258.5</v>
      </c>
      <c r="Q39" s="18"/>
      <c r="R39" s="18">
        <f>AVERAGE(R36:R38)</f>
        <v>1258.5</v>
      </c>
      <c r="S39" s="23"/>
    </row>
    <row r="40" spans="1:19" ht="16.5" x14ac:dyDescent="0.2">
      <c r="A40" s="51" t="s">
        <v>1341</v>
      </c>
      <c r="B40" s="21"/>
      <c r="C40" s="23"/>
      <c r="D40" s="22"/>
      <c r="E40" s="23"/>
      <c r="F40" s="21"/>
      <c r="G40" s="23"/>
      <c r="H40" s="22"/>
      <c r="I40" s="22"/>
      <c r="J40" s="21"/>
      <c r="K40" s="23"/>
      <c r="L40" s="22"/>
      <c r="M40" s="22"/>
      <c r="N40" s="21"/>
      <c r="O40" s="23"/>
      <c r="P40" s="22"/>
      <c r="Q40" s="22"/>
      <c r="R40" s="21"/>
      <c r="S40" s="23"/>
    </row>
    <row r="41" spans="1:19" ht="15" x14ac:dyDescent="0.2">
      <c r="A41" s="55" t="s">
        <v>1342</v>
      </c>
      <c r="B41" s="55">
        <v>0.2</v>
      </c>
      <c r="C41" s="49" t="s">
        <v>277</v>
      </c>
      <c r="D41" s="56">
        <v>16.399999999999999</v>
      </c>
      <c r="E41" s="56" t="s">
        <v>172</v>
      </c>
      <c r="F41" s="55">
        <v>153.19999999999999</v>
      </c>
      <c r="G41" s="49" t="s">
        <v>173</v>
      </c>
      <c r="H41" s="22">
        <v>415.5</v>
      </c>
      <c r="I41" s="22" t="s">
        <v>174</v>
      </c>
      <c r="J41" s="21">
        <v>749.8</v>
      </c>
      <c r="K41" s="23" t="s">
        <v>175</v>
      </c>
      <c r="L41" s="22">
        <v>1077.8</v>
      </c>
      <c r="M41" s="22" t="s">
        <v>176</v>
      </c>
      <c r="N41" s="55">
        <v>1232.0999999999999</v>
      </c>
      <c r="O41" s="49" t="s">
        <v>177</v>
      </c>
      <c r="P41" s="56">
        <v>1271.4000000000001</v>
      </c>
      <c r="Q41" s="56" t="s">
        <v>178</v>
      </c>
      <c r="R41" s="55">
        <v>1271.4000000000001</v>
      </c>
      <c r="S41" s="49" t="s">
        <v>178</v>
      </c>
    </row>
    <row r="42" spans="1:19" ht="15" x14ac:dyDescent="0.2">
      <c r="A42" s="55" t="s">
        <v>1343</v>
      </c>
      <c r="B42" s="55">
        <v>5.4</v>
      </c>
      <c r="C42" s="49" t="s">
        <v>179</v>
      </c>
      <c r="D42" s="56">
        <v>20.8</v>
      </c>
      <c r="E42" s="56" t="s">
        <v>952</v>
      </c>
      <c r="F42" s="55">
        <v>172.8</v>
      </c>
      <c r="G42" s="49" t="s">
        <v>180</v>
      </c>
      <c r="H42" s="22">
        <v>443.9</v>
      </c>
      <c r="I42" s="22" t="s">
        <v>181</v>
      </c>
      <c r="J42" s="21">
        <v>791.6</v>
      </c>
      <c r="K42" s="23" t="s">
        <v>182</v>
      </c>
      <c r="L42" s="22">
        <v>1119</v>
      </c>
      <c r="M42" s="22" t="s">
        <v>183</v>
      </c>
      <c r="N42" s="55">
        <v>1258.9000000000001</v>
      </c>
      <c r="O42" s="49" t="s">
        <v>184</v>
      </c>
      <c r="P42" s="56">
        <v>1298.4000000000001</v>
      </c>
      <c r="Q42" s="56" t="s">
        <v>185</v>
      </c>
      <c r="R42" s="55">
        <v>1298.4000000000001</v>
      </c>
      <c r="S42" s="49" t="s">
        <v>185</v>
      </c>
    </row>
    <row r="43" spans="1:19" ht="15" x14ac:dyDescent="0.2">
      <c r="A43" s="55"/>
      <c r="B43" s="55"/>
      <c r="C43" s="49"/>
      <c r="D43" s="56"/>
      <c r="E43" s="56"/>
      <c r="F43" s="55"/>
      <c r="G43" s="49"/>
      <c r="H43" s="22"/>
      <c r="I43" s="22"/>
      <c r="J43" s="21"/>
      <c r="K43" s="23"/>
      <c r="L43" s="22"/>
      <c r="M43" s="22"/>
      <c r="N43" s="55"/>
      <c r="O43" s="49"/>
      <c r="P43" s="56"/>
      <c r="Q43" s="56"/>
      <c r="R43" s="55"/>
      <c r="S43" s="49"/>
    </row>
    <row r="44" spans="1:19" ht="15" x14ac:dyDescent="0.2">
      <c r="A44" s="55" t="s">
        <v>1344</v>
      </c>
      <c r="B44" s="55">
        <v>5.9</v>
      </c>
      <c r="C44" s="49" t="s">
        <v>186</v>
      </c>
      <c r="D44" s="56">
        <v>13.4</v>
      </c>
      <c r="E44" s="56" t="s">
        <v>187</v>
      </c>
      <c r="F44" s="55">
        <v>120.4</v>
      </c>
      <c r="G44" s="49" t="s">
        <v>188</v>
      </c>
      <c r="H44" s="22">
        <v>335.6</v>
      </c>
      <c r="I44" s="22" t="s">
        <v>189</v>
      </c>
      <c r="J44" s="21">
        <v>624.6</v>
      </c>
      <c r="K44" s="23" t="s">
        <v>190</v>
      </c>
      <c r="L44" s="22">
        <v>911.4</v>
      </c>
      <c r="M44" s="22" t="s">
        <v>191</v>
      </c>
      <c r="N44" s="55">
        <v>1024.3</v>
      </c>
      <c r="O44" s="49" t="s">
        <v>192</v>
      </c>
      <c r="P44" s="56">
        <v>1052.8</v>
      </c>
      <c r="Q44" s="56" t="s">
        <v>193</v>
      </c>
      <c r="R44" s="55">
        <v>1052.8</v>
      </c>
      <c r="S44" s="49" t="s">
        <v>193</v>
      </c>
    </row>
    <row r="45" spans="1:19" ht="15" x14ac:dyDescent="0.2">
      <c r="A45" s="55" t="s">
        <v>1345</v>
      </c>
      <c r="B45" s="55">
        <v>0.5</v>
      </c>
      <c r="C45" s="49" t="s">
        <v>881</v>
      </c>
      <c r="D45" s="56">
        <v>8</v>
      </c>
      <c r="E45" s="56" t="s">
        <v>194</v>
      </c>
      <c r="F45" s="55">
        <v>112.1</v>
      </c>
      <c r="G45" s="49" t="s">
        <v>195</v>
      </c>
      <c r="H45" s="22">
        <v>312.89999999999998</v>
      </c>
      <c r="I45" s="22" t="s">
        <v>196</v>
      </c>
      <c r="J45" s="21">
        <v>588.29999999999995</v>
      </c>
      <c r="K45" s="23" t="s">
        <v>197</v>
      </c>
      <c r="L45" s="22">
        <v>858.6</v>
      </c>
      <c r="M45" s="22" t="s">
        <v>198</v>
      </c>
      <c r="N45" s="55">
        <v>952.3</v>
      </c>
      <c r="O45" s="49" t="s">
        <v>199</v>
      </c>
      <c r="P45" s="56">
        <v>975.5</v>
      </c>
      <c r="Q45" s="56" t="s">
        <v>200</v>
      </c>
      <c r="R45" s="55">
        <v>975.5</v>
      </c>
      <c r="S45" s="49" t="s">
        <v>200</v>
      </c>
    </row>
    <row r="46" spans="1:19" ht="15" x14ac:dyDescent="0.2">
      <c r="A46" s="55" t="s">
        <v>1346</v>
      </c>
      <c r="B46" s="55">
        <v>6.8</v>
      </c>
      <c r="C46" s="49" t="s">
        <v>201</v>
      </c>
      <c r="D46" s="56">
        <v>18.100000000000001</v>
      </c>
      <c r="E46" s="56" t="s">
        <v>711</v>
      </c>
      <c r="F46" s="55">
        <v>134.4</v>
      </c>
      <c r="G46" s="49" t="s">
        <v>202</v>
      </c>
      <c r="H46" s="22">
        <v>354.1</v>
      </c>
      <c r="I46" s="22" t="s">
        <v>203</v>
      </c>
      <c r="J46" s="21">
        <v>642.20000000000005</v>
      </c>
      <c r="K46" s="23" t="s">
        <v>204</v>
      </c>
      <c r="L46" s="22">
        <v>924.7</v>
      </c>
      <c r="M46" s="22" t="s">
        <v>205</v>
      </c>
      <c r="N46" s="55">
        <v>1035.8</v>
      </c>
      <c r="O46" s="49" t="s">
        <v>206</v>
      </c>
      <c r="P46" s="56">
        <v>1062.3</v>
      </c>
      <c r="Q46" s="56" t="s">
        <v>207</v>
      </c>
      <c r="R46" s="55">
        <v>1062.3</v>
      </c>
      <c r="S46" s="49" t="s">
        <v>207</v>
      </c>
    </row>
    <row r="47" spans="1:19" ht="15" x14ac:dyDescent="0.2">
      <c r="A47" s="55"/>
      <c r="B47" s="55"/>
      <c r="C47" s="49"/>
      <c r="D47" s="56"/>
      <c r="E47" s="56"/>
      <c r="F47" s="55"/>
      <c r="G47" s="49"/>
      <c r="H47" s="22"/>
      <c r="I47" s="22"/>
      <c r="J47" s="21"/>
      <c r="K47" s="23"/>
      <c r="L47" s="22"/>
      <c r="M47" s="22"/>
      <c r="N47" s="55"/>
      <c r="O47" s="49"/>
      <c r="P47" s="56"/>
      <c r="Q47" s="56"/>
      <c r="R47" s="55"/>
      <c r="S47" s="49"/>
    </row>
    <row r="48" spans="1:19" ht="15" x14ac:dyDescent="0.2">
      <c r="A48" s="55" t="s">
        <v>1347</v>
      </c>
      <c r="B48" s="55">
        <v>0.3</v>
      </c>
      <c r="C48" s="49" t="s">
        <v>209</v>
      </c>
      <c r="D48" s="56">
        <v>12.4</v>
      </c>
      <c r="E48" s="56" t="s">
        <v>210</v>
      </c>
      <c r="F48" s="55">
        <v>123.4</v>
      </c>
      <c r="G48" s="49" t="s">
        <v>211</v>
      </c>
      <c r="H48" s="22">
        <v>341.2</v>
      </c>
      <c r="I48" s="22" t="s">
        <v>212</v>
      </c>
      <c r="J48" s="21">
        <v>639.4</v>
      </c>
      <c r="K48" s="23" t="s">
        <v>213</v>
      </c>
      <c r="L48" s="22">
        <v>934</v>
      </c>
      <c r="M48" s="22" t="s">
        <v>214</v>
      </c>
      <c r="N48" s="55">
        <v>1051.2</v>
      </c>
      <c r="O48" s="49" t="s">
        <v>215</v>
      </c>
      <c r="P48" s="56">
        <v>1080</v>
      </c>
      <c r="Q48" s="56" t="s">
        <v>216</v>
      </c>
      <c r="R48" s="55">
        <v>1080</v>
      </c>
      <c r="S48" s="49" t="s">
        <v>216</v>
      </c>
    </row>
    <row r="49" spans="1:19" ht="15" x14ac:dyDescent="0.2">
      <c r="A49" s="55" t="s">
        <v>1348</v>
      </c>
      <c r="B49" s="55">
        <v>5.4</v>
      </c>
      <c r="C49" s="49" t="s">
        <v>179</v>
      </c>
      <c r="D49" s="56">
        <v>20</v>
      </c>
      <c r="E49" s="56" t="s">
        <v>208</v>
      </c>
      <c r="F49" s="55">
        <v>164.3</v>
      </c>
      <c r="G49" s="49" t="s">
        <v>217</v>
      </c>
      <c r="H49" s="22">
        <v>430.6</v>
      </c>
      <c r="I49" s="22" t="s">
        <v>218</v>
      </c>
      <c r="J49" s="21">
        <v>779.7</v>
      </c>
      <c r="K49" s="23" t="s">
        <v>219</v>
      </c>
      <c r="L49" s="22">
        <v>1099.7</v>
      </c>
      <c r="M49" s="22" t="s">
        <v>220</v>
      </c>
      <c r="N49" s="55">
        <v>1239.8</v>
      </c>
      <c r="O49" s="49" t="s">
        <v>221</v>
      </c>
      <c r="P49" s="56">
        <v>1274.7</v>
      </c>
      <c r="Q49" s="56" t="s">
        <v>222</v>
      </c>
      <c r="R49" s="55">
        <v>1274.7</v>
      </c>
      <c r="S49" s="49" t="s">
        <v>222</v>
      </c>
    </row>
    <row r="50" spans="1:19" ht="15" x14ac:dyDescent="0.2">
      <c r="A50" s="55" t="s">
        <v>1349</v>
      </c>
      <c r="B50" s="55">
        <v>3.4</v>
      </c>
      <c r="C50" s="49" t="s">
        <v>283</v>
      </c>
      <c r="D50" s="56">
        <v>13.6</v>
      </c>
      <c r="E50" s="56" t="s">
        <v>223</v>
      </c>
      <c r="F50" s="55">
        <v>112.3</v>
      </c>
      <c r="G50" s="49" t="s">
        <v>224</v>
      </c>
      <c r="H50" s="22">
        <v>302</v>
      </c>
      <c r="I50" s="22" t="s">
        <v>225</v>
      </c>
      <c r="J50" s="21">
        <v>559</v>
      </c>
      <c r="K50" s="23" t="s">
        <v>226</v>
      </c>
      <c r="L50" s="22">
        <v>814.8</v>
      </c>
      <c r="M50" s="22" t="s">
        <v>227</v>
      </c>
      <c r="N50" s="55">
        <v>904.1</v>
      </c>
      <c r="O50" s="49" t="s">
        <v>228</v>
      </c>
      <c r="P50" s="56">
        <v>928.9</v>
      </c>
      <c r="Q50" s="56" t="s">
        <v>229</v>
      </c>
      <c r="R50" s="55">
        <v>928.9</v>
      </c>
      <c r="S50" s="49" t="s">
        <v>229</v>
      </c>
    </row>
    <row r="51" spans="1:19" ht="15" x14ac:dyDescent="0.2">
      <c r="A51" s="55" t="s">
        <v>1350</v>
      </c>
      <c r="B51" s="55">
        <v>4.9000000000000004</v>
      </c>
      <c r="C51" s="49" t="s">
        <v>422</v>
      </c>
      <c r="D51" s="56">
        <v>13.6</v>
      </c>
      <c r="E51" s="56" t="s">
        <v>223</v>
      </c>
      <c r="F51" s="55">
        <v>132.80000000000001</v>
      </c>
      <c r="G51" s="49" t="s">
        <v>230</v>
      </c>
      <c r="H51" s="22">
        <v>356.3</v>
      </c>
      <c r="I51" s="22" t="s">
        <v>231</v>
      </c>
      <c r="J51" s="21">
        <v>666.8</v>
      </c>
      <c r="K51" s="23" t="s">
        <v>232</v>
      </c>
      <c r="L51" s="22">
        <v>962.9</v>
      </c>
      <c r="M51" s="22" t="s">
        <v>233</v>
      </c>
      <c r="N51" s="55">
        <v>1071.4000000000001</v>
      </c>
      <c r="O51" s="49" t="s">
        <v>234</v>
      </c>
      <c r="P51" s="56">
        <v>1097.9000000000001</v>
      </c>
      <c r="Q51" s="56" t="s">
        <v>235</v>
      </c>
      <c r="R51" s="55">
        <v>1097.9000000000001</v>
      </c>
      <c r="S51" s="49" t="s">
        <v>235</v>
      </c>
    </row>
    <row r="52" spans="1:19" ht="15" x14ac:dyDescent="0.2">
      <c r="A52" s="55" t="s">
        <v>1351</v>
      </c>
      <c r="B52" s="55">
        <v>8.1</v>
      </c>
      <c r="C52" s="49" t="s">
        <v>236</v>
      </c>
      <c r="D52" s="56">
        <v>18.100000000000001</v>
      </c>
      <c r="E52" s="56" t="s">
        <v>711</v>
      </c>
      <c r="F52" s="55">
        <v>121.7</v>
      </c>
      <c r="G52" s="49" t="s">
        <v>237</v>
      </c>
      <c r="H52" s="22">
        <v>314.3</v>
      </c>
      <c r="I52" s="22" t="s">
        <v>238</v>
      </c>
      <c r="J52" s="21">
        <v>595.5</v>
      </c>
      <c r="K52" s="23" t="s">
        <v>239</v>
      </c>
      <c r="L52" s="22">
        <v>854.3</v>
      </c>
      <c r="M52" s="22" t="s">
        <v>240</v>
      </c>
      <c r="N52" s="55">
        <v>944.5</v>
      </c>
      <c r="O52" s="49" t="s">
        <v>241</v>
      </c>
      <c r="P52" s="56">
        <v>963.2</v>
      </c>
      <c r="Q52" s="56" t="s">
        <v>242</v>
      </c>
      <c r="R52" s="55">
        <v>963.2</v>
      </c>
      <c r="S52" s="49" t="s">
        <v>242</v>
      </c>
    </row>
    <row r="53" spans="1:19" ht="15" x14ac:dyDescent="0.2">
      <c r="A53" s="55" t="s">
        <v>1352</v>
      </c>
      <c r="B53" s="55">
        <v>2.2999999999999998</v>
      </c>
      <c r="C53" s="49" t="s">
        <v>243</v>
      </c>
      <c r="D53" s="56">
        <v>13.7</v>
      </c>
      <c r="E53" s="56" t="s">
        <v>419</v>
      </c>
      <c r="F53" s="55">
        <v>143.19999999999999</v>
      </c>
      <c r="G53" s="49" t="s">
        <v>244</v>
      </c>
      <c r="H53" s="22">
        <v>393.9</v>
      </c>
      <c r="I53" s="22" t="s">
        <v>245</v>
      </c>
      <c r="J53" s="21">
        <v>715</v>
      </c>
      <c r="K53" s="23" t="s">
        <v>246</v>
      </c>
      <c r="L53" s="22">
        <v>1023.4</v>
      </c>
      <c r="M53" s="22" t="s">
        <v>247</v>
      </c>
      <c r="N53" s="55">
        <v>1151.2</v>
      </c>
      <c r="O53" s="49" t="s">
        <v>248</v>
      </c>
      <c r="P53" s="56">
        <v>1181.7</v>
      </c>
      <c r="Q53" s="56" t="s">
        <v>249</v>
      </c>
      <c r="R53" s="55">
        <v>1181.7</v>
      </c>
      <c r="S53" s="49" t="s">
        <v>249</v>
      </c>
    </row>
    <row r="54" spans="1:19" ht="15" x14ac:dyDescent="0.2">
      <c r="A54" s="55" t="s">
        <v>1353</v>
      </c>
      <c r="B54" s="55">
        <v>0</v>
      </c>
      <c r="C54" s="49" t="s">
        <v>880</v>
      </c>
      <c r="D54" s="56">
        <v>15.2</v>
      </c>
      <c r="E54" s="56" t="s">
        <v>482</v>
      </c>
      <c r="F54" s="55">
        <v>149.19999999999999</v>
      </c>
      <c r="G54" s="49" t="s">
        <v>250</v>
      </c>
      <c r="H54" s="22">
        <v>397</v>
      </c>
      <c r="I54" s="22" t="s">
        <v>251</v>
      </c>
      <c r="J54" s="21">
        <v>724.8</v>
      </c>
      <c r="K54" s="23" t="s">
        <v>252</v>
      </c>
      <c r="L54" s="22">
        <v>1039.8</v>
      </c>
      <c r="M54" s="22" t="s">
        <v>253</v>
      </c>
      <c r="N54" s="55">
        <v>1179.0999999999999</v>
      </c>
      <c r="O54" s="49" t="s">
        <v>254</v>
      </c>
      <c r="P54" s="56">
        <v>1213.0999999999999</v>
      </c>
      <c r="Q54" s="56" t="s">
        <v>255</v>
      </c>
      <c r="R54" s="55">
        <v>1213.0999999999999</v>
      </c>
      <c r="S54" s="49" t="s">
        <v>255</v>
      </c>
    </row>
    <row r="55" spans="1:19" ht="15" x14ac:dyDescent="0.2">
      <c r="A55" s="55" t="s">
        <v>1354</v>
      </c>
      <c r="B55" s="55">
        <v>4.4000000000000004</v>
      </c>
      <c r="C55" s="49" t="s">
        <v>281</v>
      </c>
      <c r="D55" s="56">
        <v>17.100000000000001</v>
      </c>
      <c r="E55" s="56" t="s">
        <v>256</v>
      </c>
      <c r="F55" s="55">
        <v>139</v>
      </c>
      <c r="G55" s="49" t="s">
        <v>257</v>
      </c>
      <c r="H55" s="22">
        <v>377.6</v>
      </c>
      <c r="I55" s="22" t="s">
        <v>258</v>
      </c>
      <c r="J55" s="21">
        <v>696.4</v>
      </c>
      <c r="K55" s="23" t="s">
        <v>259</v>
      </c>
      <c r="L55" s="22">
        <v>999.3</v>
      </c>
      <c r="M55" s="22" t="s">
        <v>260</v>
      </c>
      <c r="N55" s="55">
        <v>1125.7</v>
      </c>
      <c r="O55" s="49" t="s">
        <v>261</v>
      </c>
      <c r="P55" s="56">
        <v>1151.2</v>
      </c>
      <c r="Q55" s="56" t="s">
        <v>262</v>
      </c>
      <c r="R55" s="55">
        <v>1151.2</v>
      </c>
      <c r="S55" s="49" t="s">
        <v>262</v>
      </c>
    </row>
    <row r="56" spans="1:19" ht="15" x14ac:dyDescent="0.2">
      <c r="A56" s="55"/>
      <c r="B56" s="55"/>
      <c r="C56" s="49"/>
      <c r="D56" s="56"/>
      <c r="E56" s="56"/>
      <c r="F56" s="55"/>
      <c r="G56" s="49"/>
      <c r="H56" s="22"/>
      <c r="I56" s="22"/>
      <c r="J56" s="21"/>
      <c r="K56" s="23"/>
      <c r="L56" s="22"/>
      <c r="M56" s="22"/>
      <c r="N56" s="55"/>
      <c r="O56" s="49"/>
      <c r="P56" s="56"/>
      <c r="Q56" s="56"/>
      <c r="R56" s="55"/>
      <c r="S56" s="49"/>
    </row>
    <row r="57" spans="1:19" ht="15" x14ac:dyDescent="0.2">
      <c r="A57" s="55"/>
      <c r="B57" s="55"/>
      <c r="C57" s="49"/>
      <c r="D57" s="56"/>
      <c r="E57" s="56"/>
      <c r="F57" s="55"/>
      <c r="G57" s="49"/>
      <c r="H57" s="22"/>
      <c r="I57" s="22"/>
      <c r="J57" s="21"/>
      <c r="K57" s="23"/>
      <c r="L57" s="22"/>
      <c r="M57" s="22"/>
      <c r="N57" s="55"/>
      <c r="O57" s="49"/>
      <c r="P57" s="56"/>
      <c r="Q57" s="56"/>
      <c r="R57" s="55"/>
      <c r="S57" s="49"/>
    </row>
    <row r="58" spans="1:19" ht="15" x14ac:dyDescent="0.2">
      <c r="A58" s="55" t="s">
        <v>1355</v>
      </c>
      <c r="B58" s="55">
        <v>0.1</v>
      </c>
      <c r="C58" s="49" t="s">
        <v>1060</v>
      </c>
      <c r="D58" s="56">
        <v>10</v>
      </c>
      <c r="E58" s="56" t="s">
        <v>263</v>
      </c>
      <c r="F58" s="55">
        <v>152.6</v>
      </c>
      <c r="G58" s="49" t="s">
        <v>264</v>
      </c>
      <c r="H58" s="22">
        <v>428.4</v>
      </c>
      <c r="I58" s="22" t="s">
        <v>265</v>
      </c>
      <c r="J58" s="21">
        <v>792</v>
      </c>
      <c r="K58" s="23" t="s">
        <v>266</v>
      </c>
      <c r="L58" s="22">
        <v>1141.5999999999999</v>
      </c>
      <c r="M58" s="22" t="s">
        <v>267</v>
      </c>
      <c r="N58" s="55">
        <v>1310.4000000000001</v>
      </c>
      <c r="O58" s="49" t="s">
        <v>268</v>
      </c>
      <c r="P58" s="56">
        <v>1346.3</v>
      </c>
      <c r="Q58" s="56" t="s">
        <v>269</v>
      </c>
      <c r="R58" s="55">
        <v>1346.3</v>
      </c>
      <c r="S58" s="49" t="s">
        <v>269</v>
      </c>
    </row>
    <row r="59" spans="1:19" ht="15.75" thickBot="1" x14ac:dyDescent="0.25">
      <c r="A59" s="109" t="s">
        <v>440</v>
      </c>
      <c r="B59" s="85">
        <f>AVERAGE(B41:B58)</f>
        <v>3.407142857142857</v>
      </c>
      <c r="C59" s="92"/>
      <c r="D59" s="84">
        <f t="shared" ref="D59:R59" si="0">AVERAGE(D41:D58)</f>
        <v>15.028571428571427</v>
      </c>
      <c r="E59" s="85"/>
      <c r="F59" s="85">
        <f t="shared" si="0"/>
        <v>137.95714285714286</v>
      </c>
      <c r="G59" s="92"/>
      <c r="H59" s="84">
        <f t="shared" si="0"/>
        <v>371.66428571428571</v>
      </c>
      <c r="I59" s="85"/>
      <c r="J59" s="85">
        <f t="shared" si="0"/>
        <v>683.22142857142865</v>
      </c>
      <c r="K59" s="92"/>
      <c r="L59" s="84">
        <f t="shared" si="0"/>
        <v>982.94999999999982</v>
      </c>
      <c r="M59" s="85"/>
      <c r="N59" s="85">
        <f t="shared" si="0"/>
        <v>1105.7714285714287</v>
      </c>
      <c r="O59" s="92"/>
      <c r="P59" s="84">
        <f t="shared" si="0"/>
        <v>1135.5285714285715</v>
      </c>
      <c r="Q59" s="85"/>
      <c r="R59" s="85">
        <f t="shared" si="0"/>
        <v>1135.5285714285715</v>
      </c>
      <c r="S59" s="92"/>
    </row>
    <row r="60" spans="1:19" ht="16.5" x14ac:dyDescent="0.2">
      <c r="A60" s="9" t="s">
        <v>1143</v>
      </c>
      <c r="B60" s="18"/>
      <c r="C60" s="20"/>
      <c r="D60" s="19"/>
      <c r="E60" s="19"/>
      <c r="F60" s="18"/>
      <c r="G60" s="20"/>
      <c r="H60" s="19"/>
      <c r="I60" s="19"/>
      <c r="J60" s="136"/>
      <c r="K60" s="137"/>
      <c r="L60" s="138"/>
      <c r="M60" s="138"/>
      <c r="N60" s="136"/>
      <c r="O60" s="137"/>
      <c r="P60" s="71"/>
      <c r="Q60" s="71"/>
      <c r="R60" s="136"/>
      <c r="S60" s="20"/>
    </row>
    <row r="61" spans="1:19" ht="15" x14ac:dyDescent="0.2">
      <c r="A61" s="10" t="s">
        <v>1144</v>
      </c>
      <c r="B61" s="21">
        <v>18.600000000000001</v>
      </c>
      <c r="C61" s="23" t="s">
        <v>588</v>
      </c>
      <c r="D61" s="22">
        <v>38.299999999999997</v>
      </c>
      <c r="E61" s="22" t="s">
        <v>589</v>
      </c>
      <c r="F61" s="21">
        <v>204.7</v>
      </c>
      <c r="G61" s="23" t="s">
        <v>590</v>
      </c>
      <c r="H61" s="22">
        <v>463.9</v>
      </c>
      <c r="I61" s="22" t="s">
        <v>1180</v>
      </c>
      <c r="J61" s="21">
        <v>795</v>
      </c>
      <c r="K61" s="23" t="s">
        <v>1207</v>
      </c>
      <c r="L61" s="22">
        <v>1142.3</v>
      </c>
      <c r="M61" s="22" t="s">
        <v>1236</v>
      </c>
      <c r="N61" s="21">
        <v>1303.7</v>
      </c>
      <c r="O61" s="23" t="s">
        <v>1279</v>
      </c>
      <c r="P61" s="22">
        <v>1369.2</v>
      </c>
      <c r="Q61" s="22" t="s">
        <v>1311</v>
      </c>
      <c r="R61" s="21">
        <v>1372.1</v>
      </c>
      <c r="S61" s="23" t="s">
        <v>1332</v>
      </c>
    </row>
    <row r="62" spans="1:19" ht="15" x14ac:dyDescent="0.2">
      <c r="A62" s="10" t="s">
        <v>1145</v>
      </c>
      <c r="B62" s="21">
        <v>16.7</v>
      </c>
      <c r="C62" s="23" t="s">
        <v>591</v>
      </c>
      <c r="D62" s="22">
        <v>31.8</v>
      </c>
      <c r="E62" s="22" t="s">
        <v>592</v>
      </c>
      <c r="F62" s="21">
        <v>159.9</v>
      </c>
      <c r="G62" s="23" t="s">
        <v>593</v>
      </c>
      <c r="H62" s="22">
        <v>365.8</v>
      </c>
      <c r="I62" s="22" t="s">
        <v>1181</v>
      </c>
      <c r="J62" s="21">
        <v>644.20000000000005</v>
      </c>
      <c r="K62" s="23" t="s">
        <v>1259</v>
      </c>
      <c r="L62" s="22" t="s">
        <v>1251</v>
      </c>
      <c r="M62" s="22" t="s">
        <v>1237</v>
      </c>
      <c r="N62" s="21">
        <v>1043.8</v>
      </c>
      <c r="O62" s="23" t="s">
        <v>1280</v>
      </c>
      <c r="P62" s="22">
        <v>1086.3</v>
      </c>
      <c r="Q62" s="22" t="s">
        <v>1312</v>
      </c>
      <c r="R62" s="21">
        <v>1087.8</v>
      </c>
      <c r="S62" s="23" t="s">
        <v>1333</v>
      </c>
    </row>
    <row r="63" spans="1:19" ht="15" x14ac:dyDescent="0.2">
      <c r="A63" s="10" t="s">
        <v>1146</v>
      </c>
      <c r="B63" s="21">
        <v>37.4</v>
      </c>
      <c r="C63" s="23" t="s">
        <v>594</v>
      </c>
      <c r="D63" s="22">
        <v>59.9</v>
      </c>
      <c r="E63" s="22" t="s">
        <v>595</v>
      </c>
      <c r="F63" s="21">
        <v>229.2</v>
      </c>
      <c r="G63" s="23" t="s">
        <v>596</v>
      </c>
      <c r="H63" s="22">
        <v>486.9</v>
      </c>
      <c r="I63" s="22" t="s">
        <v>1182</v>
      </c>
      <c r="J63" s="21">
        <v>820.7</v>
      </c>
      <c r="K63" s="23" t="s">
        <v>1208</v>
      </c>
      <c r="L63" s="22">
        <v>1164</v>
      </c>
      <c r="M63" s="22" t="s">
        <v>1238</v>
      </c>
      <c r="N63" s="21">
        <v>1328.4</v>
      </c>
      <c r="O63" s="23" t="s">
        <v>1281</v>
      </c>
      <c r="P63" s="22">
        <v>1397.7</v>
      </c>
      <c r="Q63" s="22" t="s">
        <v>1313</v>
      </c>
      <c r="R63" s="21">
        <v>1405</v>
      </c>
      <c r="S63" s="23" t="s">
        <v>1334</v>
      </c>
    </row>
    <row r="64" spans="1:19" ht="15" x14ac:dyDescent="0.2">
      <c r="A64" s="10" t="s">
        <v>1147</v>
      </c>
      <c r="B64" s="21">
        <v>33.1</v>
      </c>
      <c r="C64" s="23" t="s">
        <v>597</v>
      </c>
      <c r="D64" s="22">
        <v>55.7</v>
      </c>
      <c r="E64" s="22" t="s">
        <v>598</v>
      </c>
      <c r="F64" s="21">
        <v>247.8</v>
      </c>
      <c r="G64" s="23" t="s">
        <v>599</v>
      </c>
      <c r="H64" s="22">
        <v>547.9</v>
      </c>
      <c r="I64" s="22" t="s">
        <v>1183</v>
      </c>
      <c r="J64" s="21">
        <v>914.6</v>
      </c>
      <c r="K64" s="23" t="s">
        <v>1209</v>
      </c>
      <c r="L64" s="22">
        <v>1279.5999999999999</v>
      </c>
      <c r="M64" s="22" t="s">
        <v>1239</v>
      </c>
      <c r="N64" s="21">
        <v>1464.4</v>
      </c>
      <c r="O64" s="23" t="s">
        <v>1282</v>
      </c>
      <c r="P64" s="22">
        <v>1529.9</v>
      </c>
      <c r="Q64" s="22" t="s">
        <v>1314</v>
      </c>
      <c r="R64" s="21">
        <v>1529.9</v>
      </c>
      <c r="S64" s="23" t="s">
        <v>1314</v>
      </c>
    </row>
    <row r="65" spans="1:19" ht="15" x14ac:dyDescent="0.2">
      <c r="A65" s="10" t="s">
        <v>1148</v>
      </c>
      <c r="B65" s="21">
        <v>23.9</v>
      </c>
      <c r="C65" s="23" t="s">
        <v>600</v>
      </c>
      <c r="D65" s="22">
        <v>43.8</v>
      </c>
      <c r="E65" s="22" t="s">
        <v>601</v>
      </c>
      <c r="F65" s="21">
        <v>227.8</v>
      </c>
      <c r="G65" s="23" t="s">
        <v>602</v>
      </c>
      <c r="H65" s="22">
        <v>516.70000000000005</v>
      </c>
      <c r="I65" s="22" t="s">
        <v>1184</v>
      </c>
      <c r="J65" s="21">
        <v>877.7</v>
      </c>
      <c r="K65" s="23" t="s">
        <v>1210</v>
      </c>
      <c r="L65" s="22">
        <v>1238.7</v>
      </c>
      <c r="M65" s="22" t="s">
        <v>1240</v>
      </c>
      <c r="N65" s="21">
        <v>1409.4</v>
      </c>
      <c r="O65" s="23" t="s">
        <v>1283</v>
      </c>
      <c r="P65" s="22">
        <v>1470.5</v>
      </c>
      <c r="Q65" s="22" t="s">
        <v>1315</v>
      </c>
      <c r="R65" s="21">
        <v>1470.5</v>
      </c>
      <c r="S65" s="23" t="s">
        <v>1315</v>
      </c>
    </row>
    <row r="66" spans="1:19" ht="15" x14ac:dyDescent="0.2">
      <c r="A66" s="10" t="s">
        <v>1149</v>
      </c>
      <c r="B66" s="21">
        <v>16.899999999999999</v>
      </c>
      <c r="C66" s="23" t="s">
        <v>603</v>
      </c>
      <c r="D66" s="22">
        <v>35.700000000000003</v>
      </c>
      <c r="E66" s="22" t="s">
        <v>604</v>
      </c>
      <c r="F66" s="21">
        <v>217.7</v>
      </c>
      <c r="G66" s="23" t="s">
        <v>605</v>
      </c>
      <c r="H66" s="22">
        <v>514.20000000000005</v>
      </c>
      <c r="I66" s="22" t="s">
        <v>1185</v>
      </c>
      <c r="J66" s="21">
        <v>893.1</v>
      </c>
      <c r="K66" s="23" t="s">
        <v>1260</v>
      </c>
      <c r="L66" s="22">
        <v>1260.3</v>
      </c>
      <c r="M66" s="22" t="s">
        <v>1241</v>
      </c>
      <c r="N66" s="21">
        <v>1439.8</v>
      </c>
      <c r="O66" s="23" t="s">
        <v>1284</v>
      </c>
      <c r="P66" s="22">
        <v>1491.5</v>
      </c>
      <c r="Q66" s="22" t="s">
        <v>1316</v>
      </c>
      <c r="R66" s="21">
        <v>1491.5</v>
      </c>
      <c r="S66" s="23" t="s">
        <v>1316</v>
      </c>
    </row>
    <row r="67" spans="1:19" ht="17.25" thickBot="1" x14ac:dyDescent="0.25">
      <c r="A67" s="109" t="s">
        <v>440</v>
      </c>
      <c r="B67" s="21"/>
      <c r="C67" s="23"/>
      <c r="D67" s="22"/>
      <c r="E67" s="22"/>
      <c r="F67" s="21"/>
      <c r="G67" s="23"/>
      <c r="H67" s="22"/>
      <c r="I67" s="22"/>
      <c r="J67" s="18">
        <f>AVERAGE(J61:J66)</f>
        <v>824.2166666666667</v>
      </c>
      <c r="K67" s="20"/>
      <c r="L67" s="19">
        <f>AVERAGE(L61:L66)</f>
        <v>1216.98</v>
      </c>
      <c r="M67" s="18"/>
      <c r="N67" s="18">
        <f>AVERAGE(N61:N66)</f>
        <v>1331.5833333333335</v>
      </c>
      <c r="O67" s="20"/>
      <c r="P67" s="266">
        <f>AVERAGE(P61:P66)</f>
        <v>1390.8500000000001</v>
      </c>
      <c r="Q67" s="18"/>
      <c r="R67" s="18">
        <f>AVERAGE(R61:R66)</f>
        <v>1392.8</v>
      </c>
      <c r="S67" s="23"/>
    </row>
    <row r="68" spans="1:19" ht="16.5" x14ac:dyDescent="0.2">
      <c r="A68" s="9" t="s">
        <v>1150</v>
      </c>
      <c r="B68" s="18"/>
      <c r="C68" s="20"/>
      <c r="D68" s="19"/>
      <c r="E68" s="19"/>
      <c r="F68" s="18"/>
      <c r="G68" s="20"/>
      <c r="H68" s="19"/>
      <c r="I68" s="19"/>
      <c r="J68" s="136"/>
      <c r="K68" s="137"/>
      <c r="L68" s="138"/>
      <c r="M68" s="138"/>
      <c r="N68" s="136"/>
      <c r="O68" s="137"/>
      <c r="P68" s="71"/>
      <c r="Q68" s="71"/>
      <c r="R68" s="136"/>
      <c r="S68" s="20"/>
    </row>
    <row r="69" spans="1:19" ht="15" x14ac:dyDescent="0.2">
      <c r="A69" s="10" t="s">
        <v>1151</v>
      </c>
      <c r="B69" s="21">
        <v>24.1</v>
      </c>
      <c r="C69" s="23" t="s">
        <v>606</v>
      </c>
      <c r="D69" s="22">
        <v>41.1</v>
      </c>
      <c r="E69" s="22" t="s">
        <v>607</v>
      </c>
      <c r="F69" s="21">
        <v>216.1</v>
      </c>
      <c r="G69" s="23" t="s">
        <v>608</v>
      </c>
      <c r="H69" s="22">
        <v>499.5</v>
      </c>
      <c r="I69" s="22" t="s">
        <v>1186</v>
      </c>
      <c r="J69" s="21">
        <v>846.4</v>
      </c>
      <c r="K69" s="23" t="s">
        <v>1211</v>
      </c>
      <c r="L69" s="22">
        <v>1194.2</v>
      </c>
      <c r="M69" s="22" t="s">
        <v>1242</v>
      </c>
      <c r="N69" s="21">
        <v>1359.1</v>
      </c>
      <c r="O69" s="23" t="s">
        <v>1285</v>
      </c>
      <c r="P69" s="22">
        <v>1414.3</v>
      </c>
      <c r="Q69" s="22" t="s">
        <v>1317</v>
      </c>
      <c r="R69" s="21">
        <v>1414.3</v>
      </c>
      <c r="S69" s="23" t="s">
        <v>1317</v>
      </c>
    </row>
    <row r="70" spans="1:19" ht="15" x14ac:dyDescent="0.2">
      <c r="A70" s="10" t="s">
        <v>1152</v>
      </c>
      <c r="B70" s="21">
        <v>29.2</v>
      </c>
      <c r="C70" s="23" t="s">
        <v>609</v>
      </c>
      <c r="D70" s="22">
        <v>48.9</v>
      </c>
      <c r="E70" s="22" t="s">
        <v>610</v>
      </c>
      <c r="F70" s="21">
        <v>219.6</v>
      </c>
      <c r="G70" s="23" t="s">
        <v>611</v>
      </c>
      <c r="H70" s="22">
        <v>475.6</v>
      </c>
      <c r="I70" s="22" t="s">
        <v>1187</v>
      </c>
      <c r="J70" s="21">
        <v>810.5</v>
      </c>
      <c r="K70" s="23" t="s">
        <v>1212</v>
      </c>
      <c r="L70" s="22">
        <v>1158.0999999999999</v>
      </c>
      <c r="M70" s="22" t="s">
        <v>1243</v>
      </c>
      <c r="N70" s="21">
        <v>1341.1</v>
      </c>
      <c r="O70" s="23" t="s">
        <v>1286</v>
      </c>
      <c r="P70" s="22">
        <v>1370.9</v>
      </c>
      <c r="Q70" s="22" t="s">
        <v>1318</v>
      </c>
      <c r="R70" s="21">
        <v>1370.9</v>
      </c>
      <c r="S70" s="23" t="s">
        <v>1318</v>
      </c>
    </row>
    <row r="71" spans="1:19" ht="15" x14ac:dyDescent="0.2">
      <c r="A71" s="10" t="s">
        <v>1153</v>
      </c>
      <c r="B71" s="21">
        <v>27.9</v>
      </c>
      <c r="C71" s="23" t="s">
        <v>612</v>
      </c>
      <c r="D71" s="22">
        <v>50.2</v>
      </c>
      <c r="E71" s="22" t="s">
        <v>613</v>
      </c>
      <c r="F71" s="21">
        <v>236.9</v>
      </c>
      <c r="G71" s="23" t="s">
        <v>614</v>
      </c>
      <c r="H71" s="22">
        <v>530.9</v>
      </c>
      <c r="I71" s="22" t="s">
        <v>1188</v>
      </c>
      <c r="J71" s="21">
        <v>892.1</v>
      </c>
      <c r="K71" s="23" t="s">
        <v>1213</v>
      </c>
      <c r="L71" s="22">
        <v>1238.7</v>
      </c>
      <c r="M71" s="22" t="s">
        <v>1244</v>
      </c>
      <c r="N71" s="21">
        <v>1409.3</v>
      </c>
      <c r="O71" s="23" t="s">
        <v>1287</v>
      </c>
      <c r="P71" s="22">
        <v>1474.4</v>
      </c>
      <c r="Q71" s="22" t="s">
        <v>1319</v>
      </c>
      <c r="R71" s="21">
        <v>1474.4</v>
      </c>
      <c r="S71" s="23" t="s">
        <v>1319</v>
      </c>
    </row>
    <row r="72" spans="1:19" ht="15" x14ac:dyDescent="0.2">
      <c r="A72" s="10" t="s">
        <v>1154</v>
      </c>
      <c r="B72" s="21">
        <v>30.9</v>
      </c>
      <c r="C72" s="23" t="s">
        <v>615</v>
      </c>
      <c r="D72" s="22">
        <v>53.2</v>
      </c>
      <c r="E72" s="22" t="s">
        <v>616</v>
      </c>
      <c r="F72" s="21">
        <v>233.7</v>
      </c>
      <c r="G72" s="23" t="s">
        <v>617</v>
      </c>
      <c r="H72" s="22">
        <v>507.7</v>
      </c>
      <c r="I72" s="22" t="s">
        <v>1189</v>
      </c>
      <c r="J72" s="21">
        <v>862.9</v>
      </c>
      <c r="K72" s="23" t="s">
        <v>1214</v>
      </c>
      <c r="L72" s="22">
        <v>1206.7</v>
      </c>
      <c r="M72" s="22" t="s">
        <v>1245</v>
      </c>
      <c r="N72" s="21">
        <v>1377.8</v>
      </c>
      <c r="O72" s="23" t="s">
        <v>1288</v>
      </c>
      <c r="P72" s="22">
        <v>1440.3</v>
      </c>
      <c r="Q72" s="22" t="s">
        <v>1320</v>
      </c>
      <c r="R72" s="21">
        <v>1445.6</v>
      </c>
      <c r="S72" s="23" t="s">
        <v>1335</v>
      </c>
    </row>
    <row r="73" spans="1:19" ht="15" x14ac:dyDescent="0.2">
      <c r="A73" s="10" t="s">
        <v>1155</v>
      </c>
      <c r="B73" s="21">
        <v>23.1</v>
      </c>
      <c r="C73" s="23" t="s">
        <v>618</v>
      </c>
      <c r="D73" s="22">
        <v>45.7</v>
      </c>
      <c r="E73" s="22" t="s">
        <v>619</v>
      </c>
      <c r="F73" s="21">
        <v>219.4</v>
      </c>
      <c r="G73" s="23" t="s">
        <v>620</v>
      </c>
      <c r="H73" s="22">
        <v>486.1</v>
      </c>
      <c r="I73" s="22" t="s">
        <v>1190</v>
      </c>
      <c r="J73" s="21">
        <v>828</v>
      </c>
      <c r="K73" s="23" t="s">
        <v>1215</v>
      </c>
      <c r="L73" s="22">
        <v>1169.7</v>
      </c>
      <c r="M73" s="22" t="s">
        <v>1246</v>
      </c>
      <c r="N73" s="21">
        <v>1331.2</v>
      </c>
      <c r="O73" s="23" t="s">
        <v>1289</v>
      </c>
      <c r="P73" s="22">
        <v>1394.6</v>
      </c>
      <c r="Q73" s="22" t="s">
        <v>1321</v>
      </c>
      <c r="R73" s="21">
        <v>1394.6</v>
      </c>
      <c r="S73" s="23" t="s">
        <v>1321</v>
      </c>
    </row>
    <row r="74" spans="1:19" ht="17.25" thickBot="1" x14ac:dyDescent="0.25">
      <c r="A74" s="109" t="s">
        <v>440</v>
      </c>
      <c r="B74" s="21"/>
      <c r="C74" s="23"/>
      <c r="D74" s="22"/>
      <c r="E74" s="22"/>
      <c r="F74" s="21"/>
      <c r="G74" s="23"/>
      <c r="H74" s="22"/>
      <c r="I74" s="22"/>
      <c r="J74" s="18">
        <f>AVERAGE(J69:J73)</f>
        <v>847.9799999999999</v>
      </c>
      <c r="K74" s="20"/>
      <c r="L74" s="19">
        <f>AVERAGE(L69:L73)</f>
        <v>1193.48</v>
      </c>
      <c r="M74" s="18"/>
      <c r="N74" s="18">
        <f>AVERAGE(N69:N73)</f>
        <v>1363.7</v>
      </c>
      <c r="O74" s="20"/>
      <c r="P74" s="266">
        <f>AVERAGE(P69:P73)</f>
        <v>1418.9</v>
      </c>
      <c r="Q74" s="18"/>
      <c r="R74" s="18">
        <f>AVERAGE(R69:R73)</f>
        <v>1419.9600000000003</v>
      </c>
      <c r="S74" s="23"/>
    </row>
    <row r="75" spans="1:19" ht="16.5" x14ac:dyDescent="0.2">
      <c r="A75" s="9" t="s">
        <v>1156</v>
      </c>
      <c r="B75" s="18"/>
      <c r="C75" s="20"/>
      <c r="D75" s="19"/>
      <c r="E75" s="19"/>
      <c r="F75" s="18"/>
      <c r="G75" s="20"/>
      <c r="H75" s="19"/>
      <c r="I75" s="19"/>
      <c r="J75" s="136"/>
      <c r="K75" s="137"/>
      <c r="L75" s="138"/>
      <c r="M75" s="138"/>
      <c r="N75" s="136"/>
      <c r="O75" s="137"/>
      <c r="P75" s="71"/>
      <c r="Q75" s="71"/>
      <c r="R75" s="136"/>
      <c r="S75" s="20"/>
    </row>
    <row r="76" spans="1:19" ht="15" x14ac:dyDescent="0.2">
      <c r="A76" s="10" t="s">
        <v>1157</v>
      </c>
      <c r="B76" s="21">
        <v>11.1</v>
      </c>
      <c r="C76" s="23" t="s">
        <v>621</v>
      </c>
      <c r="D76" s="22">
        <v>20.6</v>
      </c>
      <c r="E76" s="22" t="s">
        <v>622</v>
      </c>
      <c r="F76" s="21">
        <v>149.69999999999999</v>
      </c>
      <c r="G76" s="23" t="s">
        <v>623</v>
      </c>
      <c r="H76" s="22">
        <v>378.2</v>
      </c>
      <c r="I76" s="22" t="s">
        <v>1191</v>
      </c>
      <c r="J76" s="21">
        <v>686</v>
      </c>
      <c r="K76" s="23" t="s">
        <v>1261</v>
      </c>
      <c r="L76" s="22">
        <v>970.3</v>
      </c>
      <c r="M76" s="22" t="s">
        <v>1247</v>
      </c>
      <c r="N76" s="21">
        <v>1084.0999999999999</v>
      </c>
      <c r="O76" s="23" t="s">
        <v>1290</v>
      </c>
      <c r="P76" s="22">
        <v>1121.7</v>
      </c>
      <c r="Q76" s="22" t="s">
        <v>1322</v>
      </c>
      <c r="R76" s="21">
        <v>1121.7</v>
      </c>
      <c r="S76" s="23" t="s">
        <v>1322</v>
      </c>
    </row>
    <row r="77" spans="1:19" ht="15" x14ac:dyDescent="0.2">
      <c r="A77" s="10" t="s">
        <v>1158</v>
      </c>
      <c r="B77" s="21">
        <v>26</v>
      </c>
      <c r="C77" s="23" t="s">
        <v>624</v>
      </c>
      <c r="D77" s="22">
        <v>39.200000000000003</v>
      </c>
      <c r="E77" s="22" t="s">
        <v>625</v>
      </c>
      <c r="F77" s="21">
        <v>223.8</v>
      </c>
      <c r="G77" s="23" t="s">
        <v>626</v>
      </c>
      <c r="H77" s="22">
        <v>505.8</v>
      </c>
      <c r="I77" s="22" t="s">
        <v>1192</v>
      </c>
      <c r="J77" s="21">
        <v>884.5</v>
      </c>
      <c r="K77" s="23" t="s">
        <v>1216</v>
      </c>
      <c r="L77" s="22">
        <v>1223.5</v>
      </c>
      <c r="M77" s="22" t="s">
        <v>1248</v>
      </c>
      <c r="N77" s="21">
        <v>1376.8</v>
      </c>
      <c r="O77" s="23" t="s">
        <v>1291</v>
      </c>
      <c r="P77" s="22">
        <v>1431</v>
      </c>
      <c r="Q77" s="22" t="s">
        <v>1323</v>
      </c>
      <c r="R77" s="21">
        <v>1431.8</v>
      </c>
      <c r="S77" s="23" t="s">
        <v>1336</v>
      </c>
    </row>
    <row r="78" spans="1:19" ht="15" x14ac:dyDescent="0.2">
      <c r="A78" s="10" t="s">
        <v>1159</v>
      </c>
      <c r="B78" s="21">
        <v>11.7</v>
      </c>
      <c r="C78" s="23" t="s">
        <v>627</v>
      </c>
      <c r="D78" s="22">
        <v>22.9</v>
      </c>
      <c r="E78" s="22" t="s">
        <v>628</v>
      </c>
      <c r="F78" s="21">
        <v>161.19999999999999</v>
      </c>
      <c r="G78" s="23" t="s">
        <v>629</v>
      </c>
      <c r="H78" s="22">
        <v>395.9</v>
      </c>
      <c r="I78" s="22" t="s">
        <v>1193</v>
      </c>
      <c r="J78" s="21">
        <v>705.8</v>
      </c>
      <c r="K78" s="23" t="s">
        <v>1217</v>
      </c>
      <c r="L78" s="22">
        <v>1000.5</v>
      </c>
      <c r="M78" s="22" t="s">
        <v>1249</v>
      </c>
      <c r="N78" s="21">
        <v>1124.3</v>
      </c>
      <c r="O78" s="23" t="s">
        <v>1292</v>
      </c>
      <c r="P78" s="22">
        <v>1161.7</v>
      </c>
      <c r="Q78" s="22" t="s">
        <v>1324</v>
      </c>
      <c r="R78" s="21">
        <v>1161.7</v>
      </c>
      <c r="S78" s="23" t="s">
        <v>1324</v>
      </c>
    </row>
    <row r="79" spans="1:19" ht="17.25" thickBot="1" x14ac:dyDescent="0.25">
      <c r="A79" s="109" t="s">
        <v>440</v>
      </c>
      <c r="B79" s="21"/>
      <c r="C79" s="23"/>
      <c r="D79" s="22"/>
      <c r="E79" s="22"/>
      <c r="F79" s="21"/>
      <c r="G79" s="23"/>
      <c r="H79" s="22"/>
      <c r="I79" s="22"/>
      <c r="J79" s="18">
        <f>AVERAGE(J76:J78)</f>
        <v>758.76666666666677</v>
      </c>
      <c r="K79" s="20"/>
      <c r="L79" s="19">
        <f>AVERAGE(L76:L78)</f>
        <v>1064.7666666666667</v>
      </c>
      <c r="M79" s="18"/>
      <c r="N79" s="18">
        <f>AVERAGE(N76:N78)</f>
        <v>1195.0666666666666</v>
      </c>
      <c r="O79" s="20"/>
      <c r="P79" s="266">
        <f>AVERAGE(P76:P78)</f>
        <v>1238.1333333333332</v>
      </c>
      <c r="Q79" s="18"/>
      <c r="R79" s="18">
        <f>AVERAGE(R76:R78)</f>
        <v>1238.3999999999999</v>
      </c>
      <c r="S79" s="23"/>
    </row>
    <row r="80" spans="1:19" ht="16.5" x14ac:dyDescent="0.2">
      <c r="A80" s="9" t="s">
        <v>1160</v>
      </c>
      <c r="B80" s="18"/>
      <c r="C80" s="20"/>
      <c r="D80" s="19"/>
      <c r="E80" s="19"/>
      <c r="F80" s="18"/>
      <c r="G80" s="20"/>
      <c r="H80" s="19"/>
      <c r="I80" s="19"/>
      <c r="J80" s="136"/>
      <c r="K80" s="137"/>
      <c r="L80" s="138"/>
      <c r="M80" s="138"/>
      <c r="N80" s="136"/>
      <c r="O80" s="137"/>
      <c r="P80" s="71"/>
      <c r="Q80" s="71"/>
      <c r="R80" s="136"/>
      <c r="S80" s="20"/>
    </row>
    <row r="81" spans="1:19" ht="15" x14ac:dyDescent="0.2">
      <c r="A81" s="10" t="s">
        <v>1161</v>
      </c>
      <c r="B81" s="21">
        <v>9.1</v>
      </c>
      <c r="C81" s="23" t="s">
        <v>895</v>
      </c>
      <c r="D81" s="22">
        <v>14.1</v>
      </c>
      <c r="E81" s="22" t="s">
        <v>630</v>
      </c>
      <c r="F81" s="21">
        <v>112.7</v>
      </c>
      <c r="G81" s="23" t="s">
        <v>631</v>
      </c>
      <c r="H81" s="22">
        <v>321.10000000000002</v>
      </c>
      <c r="I81" s="22" t="s">
        <v>1194</v>
      </c>
      <c r="J81" s="21">
        <f>AVERAGE(J11:J79)</f>
        <v>735.76457142857157</v>
      </c>
      <c r="K81" s="23" t="s">
        <v>1262</v>
      </c>
      <c r="L81" s="22">
        <v>861.6</v>
      </c>
      <c r="M81" s="22" t="s">
        <v>1250</v>
      </c>
      <c r="N81" s="21">
        <v>966.9</v>
      </c>
      <c r="O81" s="23" t="s">
        <v>1293</v>
      </c>
      <c r="P81" s="22">
        <v>985.8</v>
      </c>
      <c r="Q81" s="22" t="s">
        <v>1325</v>
      </c>
      <c r="R81" s="21">
        <v>985.8</v>
      </c>
      <c r="S81" s="23" t="s">
        <v>1325</v>
      </c>
    </row>
    <row r="82" spans="1:19" ht="15.75" thickBot="1" x14ac:dyDescent="0.25">
      <c r="A82" s="109" t="s">
        <v>440</v>
      </c>
      <c r="B82" s="132"/>
      <c r="C82" s="118"/>
      <c r="D82" s="135"/>
      <c r="E82" s="135"/>
      <c r="F82" s="119"/>
      <c r="G82" s="120"/>
      <c r="H82" s="135"/>
      <c r="I82" s="135"/>
      <c r="J82" s="115">
        <f>AVERAGE(J81)</f>
        <v>735.76457142857157</v>
      </c>
      <c r="K82" s="116"/>
      <c r="L82" s="134">
        <f>AVERAGE(L81)</f>
        <v>861.6</v>
      </c>
      <c r="M82" s="133"/>
      <c r="N82" s="117">
        <v>966.9</v>
      </c>
      <c r="O82" s="118"/>
      <c r="P82" s="135">
        <f>AVERAGE(P81)</f>
        <v>985.8</v>
      </c>
      <c r="Q82" s="119"/>
      <c r="R82" s="119">
        <f>AVERAGE(R81)</f>
        <v>985.8</v>
      </c>
      <c r="S82" s="120"/>
    </row>
  </sheetData>
  <mergeCells count="30">
    <mergeCell ref="J8:K8"/>
    <mergeCell ref="J9:K9"/>
    <mergeCell ref="R8:S8"/>
    <mergeCell ref="R9:S9"/>
    <mergeCell ref="N8:O8"/>
    <mergeCell ref="N9:O9"/>
    <mergeCell ref="L8:M8"/>
    <mergeCell ref="L9:M9"/>
    <mergeCell ref="D8:E8"/>
    <mergeCell ref="D9:E9"/>
    <mergeCell ref="B8:C8"/>
    <mergeCell ref="B9:C9"/>
    <mergeCell ref="H8:I8"/>
    <mergeCell ref="H9:I9"/>
    <mergeCell ref="F8:G8"/>
    <mergeCell ref="F9:G9"/>
    <mergeCell ref="P74"/>
    <mergeCell ref="P79"/>
    <mergeCell ref="P21"/>
    <mergeCell ref="P25"/>
    <mergeCell ref="P31"/>
    <mergeCell ref="P35"/>
    <mergeCell ref="P6"/>
    <mergeCell ref="P7"/>
    <mergeCell ref="P39"/>
    <mergeCell ref="P67"/>
    <mergeCell ref="P12"/>
    <mergeCell ref="P17"/>
    <mergeCell ref="P8:Q8"/>
    <mergeCell ref="P9:Q9"/>
  </mergeCells>
  <phoneticPr fontId="11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workbookViewId="0">
      <selection activeCell="E11" sqref="E11"/>
    </sheetView>
  </sheetViews>
  <sheetFormatPr baseColWidth="10" defaultRowHeight="12.75" x14ac:dyDescent="0.2"/>
  <cols>
    <col min="1" max="1" width="24.85546875" customWidth="1"/>
    <col min="2" max="2" width="12.7109375" style="166" customWidth="1"/>
    <col min="3" max="3" width="12.5703125" style="1" customWidth="1"/>
    <col min="4" max="4" width="11.42578125" style="166" customWidth="1"/>
    <col min="5" max="7" width="11.42578125" style="1" customWidth="1"/>
    <col min="8" max="8" width="11.5703125" style="1" hidden="1" customWidth="1"/>
    <col min="9" max="13" width="11.42578125" style="1" hidden="1" customWidth="1"/>
    <col min="14" max="14" width="0" style="1" hidden="1" customWidth="1"/>
    <col min="15" max="15" width="14" style="1" hidden="1" customWidth="1"/>
    <col min="16" max="16" width="13" style="1" hidden="1" customWidth="1"/>
    <col min="17" max="17" width="12.85546875" style="1" hidden="1" customWidth="1"/>
    <col min="19" max="19" width="12.7109375" customWidth="1"/>
  </cols>
  <sheetData>
    <row r="1" spans="1:23" ht="23.25" x14ac:dyDescent="0.35">
      <c r="A1" s="2"/>
      <c r="B1" s="144"/>
      <c r="C1" s="11"/>
      <c r="D1" s="144"/>
      <c r="E1" s="11"/>
      <c r="F1" s="11"/>
      <c r="G1" s="11"/>
    </row>
    <row r="2" spans="1:23" x14ac:dyDescent="0.2">
      <c r="A2" s="4"/>
      <c r="B2" s="144"/>
      <c r="C2" s="11"/>
      <c r="D2" s="144"/>
      <c r="E2" s="11"/>
      <c r="F2" s="11"/>
      <c r="G2" s="11"/>
    </row>
    <row r="3" spans="1:23" ht="18" x14ac:dyDescent="0.3">
      <c r="A3" s="5"/>
      <c r="B3" s="145"/>
      <c r="C3" s="12"/>
      <c r="D3" s="145"/>
      <c r="E3" s="12"/>
      <c r="F3" s="12"/>
      <c r="G3" s="12"/>
      <c r="S3" s="139"/>
    </row>
    <row r="4" spans="1:23" x14ac:dyDescent="0.2">
      <c r="A4" s="6"/>
      <c r="B4" s="145"/>
      <c r="C4" s="12"/>
      <c r="D4" s="145"/>
      <c r="E4" s="12"/>
      <c r="F4" s="12"/>
      <c r="G4" s="12"/>
    </row>
    <row r="5" spans="1:23" ht="15" x14ac:dyDescent="0.2">
      <c r="A5" s="7"/>
      <c r="B5" s="146"/>
      <c r="C5" s="13"/>
      <c r="D5" s="146"/>
      <c r="E5" s="13"/>
      <c r="F5" s="13"/>
      <c r="G5" s="13"/>
    </row>
    <row r="6" spans="1:23" ht="15" customHeight="1" x14ac:dyDescent="0.3">
      <c r="A6" s="8"/>
      <c r="B6" s="147"/>
      <c r="C6" s="14"/>
      <c r="D6" s="147"/>
      <c r="E6" s="14"/>
      <c r="F6" s="14"/>
      <c r="G6" s="14"/>
    </row>
    <row r="7" spans="1:23" ht="15" customHeight="1" thickBot="1" x14ac:dyDescent="0.35">
      <c r="A7" s="8"/>
      <c r="B7" s="147"/>
      <c r="C7" s="14"/>
      <c r="D7" s="147"/>
      <c r="E7" s="14"/>
      <c r="F7" s="14"/>
      <c r="G7" s="14"/>
    </row>
    <row r="8" spans="1:23" ht="16.5" x14ac:dyDescent="0.2">
      <c r="A8" s="51" t="s">
        <v>1118</v>
      </c>
      <c r="B8" s="148" t="s">
        <v>1119</v>
      </c>
      <c r="C8" s="29" t="s">
        <v>1119</v>
      </c>
      <c r="D8" s="149" t="s">
        <v>1119</v>
      </c>
      <c r="E8" s="25" t="s">
        <v>1119</v>
      </c>
      <c r="F8" s="28" t="s">
        <v>1119</v>
      </c>
      <c r="G8" s="29" t="s">
        <v>1119</v>
      </c>
      <c r="H8" s="25" t="s">
        <v>1119</v>
      </c>
      <c r="I8" s="25" t="s">
        <v>1119</v>
      </c>
      <c r="J8" s="28" t="s">
        <v>1119</v>
      </c>
      <c r="K8" s="29" t="s">
        <v>1119</v>
      </c>
      <c r="L8" s="28" t="s">
        <v>1119</v>
      </c>
      <c r="M8" s="25" t="s">
        <v>1119</v>
      </c>
      <c r="N8" s="28" t="s">
        <v>1119</v>
      </c>
      <c r="O8" s="29" t="s">
        <v>1119</v>
      </c>
      <c r="P8" s="28" t="s">
        <v>1119</v>
      </c>
      <c r="Q8" s="25" t="s">
        <v>1119</v>
      </c>
      <c r="R8" s="51" t="s">
        <v>1119</v>
      </c>
      <c r="S8" s="52" t="s">
        <v>1119</v>
      </c>
    </row>
    <row r="9" spans="1:23" s="76" customFormat="1" ht="15" customHeight="1" thickBot="1" x14ac:dyDescent="0.25">
      <c r="A9" s="53"/>
      <c r="B9" s="150" t="s">
        <v>1339</v>
      </c>
      <c r="C9" s="141" t="s">
        <v>1339</v>
      </c>
      <c r="D9" s="151" t="s">
        <v>1340</v>
      </c>
      <c r="E9" s="142" t="s">
        <v>1340</v>
      </c>
      <c r="F9" s="140" t="s">
        <v>536</v>
      </c>
      <c r="G9" s="141" t="s">
        <v>536</v>
      </c>
      <c r="H9" s="142" t="s">
        <v>537</v>
      </c>
      <c r="I9" s="142" t="s">
        <v>537</v>
      </c>
      <c r="J9" s="140" t="s">
        <v>538</v>
      </c>
      <c r="K9" s="141" t="s">
        <v>538</v>
      </c>
      <c r="L9" s="67" t="s">
        <v>539</v>
      </c>
      <c r="M9" s="74" t="s">
        <v>539</v>
      </c>
      <c r="N9" s="67" t="s">
        <v>1294</v>
      </c>
      <c r="O9" s="143" t="s">
        <v>1294</v>
      </c>
      <c r="P9" s="67" t="s">
        <v>540</v>
      </c>
      <c r="Q9" s="74" t="s">
        <v>540</v>
      </c>
      <c r="R9" s="194" t="s">
        <v>1337</v>
      </c>
      <c r="S9" s="195" t="s">
        <v>1337</v>
      </c>
    </row>
    <row r="10" spans="1:23" s="76" customFormat="1" ht="16.5" customHeight="1" x14ac:dyDescent="0.2">
      <c r="A10" s="51" t="s">
        <v>1120</v>
      </c>
      <c r="B10" s="148"/>
      <c r="C10" s="29"/>
      <c r="D10" s="149"/>
      <c r="E10" s="25"/>
      <c r="F10" s="28"/>
      <c r="G10" s="29"/>
      <c r="H10" s="152" t="s">
        <v>1338</v>
      </c>
      <c r="I10" s="152"/>
      <c r="J10" s="153"/>
      <c r="K10" s="101"/>
      <c r="L10" s="136"/>
      <c r="M10" s="138"/>
      <c r="N10" s="136"/>
      <c r="O10" s="137"/>
      <c r="P10" s="138"/>
      <c r="Q10" s="138"/>
      <c r="R10" s="77"/>
      <c r="S10" s="78"/>
    </row>
    <row r="11" spans="1:23" s="76" customFormat="1" ht="15.75" thickBot="1" x14ac:dyDescent="0.25">
      <c r="A11" s="55" t="s">
        <v>1121</v>
      </c>
      <c r="B11" s="80">
        <v>0</v>
      </c>
      <c r="C11" s="23" t="s">
        <v>880</v>
      </c>
      <c r="D11" s="79" t="s">
        <v>880</v>
      </c>
      <c r="E11" s="22" t="s">
        <v>880</v>
      </c>
      <c r="F11" s="21">
        <v>34.5</v>
      </c>
      <c r="G11" s="23" t="s">
        <v>0</v>
      </c>
      <c r="H11" s="138">
        <v>127.5</v>
      </c>
      <c r="I11" s="22" t="s">
        <v>1</v>
      </c>
      <c r="J11" s="136">
        <v>388.9</v>
      </c>
      <c r="K11" s="23" t="s">
        <v>1356</v>
      </c>
      <c r="L11" s="21">
        <v>604.9</v>
      </c>
      <c r="M11" s="22" t="s">
        <v>1401</v>
      </c>
      <c r="N11" s="154">
        <v>685.4</v>
      </c>
      <c r="O11" s="23" t="s">
        <v>127</v>
      </c>
      <c r="P11" s="16">
        <v>712.7</v>
      </c>
      <c r="Q11" s="16" t="s">
        <v>2</v>
      </c>
      <c r="R11" s="193">
        <v>712.7</v>
      </c>
      <c r="S11" s="189" t="s">
        <v>2</v>
      </c>
      <c r="W11" s="191" t="s">
        <v>1338</v>
      </c>
    </row>
    <row r="12" spans="1:23" s="174" customFormat="1" ht="17.25" thickBot="1" x14ac:dyDescent="0.3">
      <c r="A12" s="167" t="s">
        <v>440</v>
      </c>
      <c r="B12" s="126">
        <f>AVERAGE(B11)</f>
        <v>0</v>
      </c>
      <c r="C12" s="127"/>
      <c r="D12" s="128">
        <v>0</v>
      </c>
      <c r="E12" s="129"/>
      <c r="F12" s="130">
        <f>AVERAGE(F11)</f>
        <v>34.5</v>
      </c>
      <c r="G12" s="127"/>
      <c r="H12" s="168">
        <v>127.5</v>
      </c>
      <c r="I12" s="129"/>
      <c r="J12" s="169">
        <f>AVERAGE(J11)</f>
        <v>388.9</v>
      </c>
      <c r="K12" s="170"/>
      <c r="L12" s="171">
        <f>AVERAGE(L11)</f>
        <v>604.9</v>
      </c>
      <c r="M12" s="172"/>
      <c r="N12" s="169">
        <f>AVERAGE(N11)</f>
        <v>685.4</v>
      </c>
      <c r="O12" s="173"/>
      <c r="P12" s="187">
        <f>AVERAGE(P11)</f>
        <v>712.7</v>
      </c>
      <c r="Q12" s="192"/>
      <c r="R12" s="171">
        <f>AVERAGE(R11)</f>
        <v>712.7</v>
      </c>
      <c r="S12" s="173"/>
    </row>
    <row r="13" spans="1:23" s="76" customFormat="1" ht="16.5" x14ac:dyDescent="0.2">
      <c r="A13" s="51" t="s">
        <v>1123</v>
      </c>
      <c r="B13" s="136"/>
      <c r="C13" s="137"/>
      <c r="D13" s="138"/>
      <c r="E13" s="138"/>
      <c r="F13" s="136"/>
      <c r="G13" s="137"/>
      <c r="H13" s="138"/>
      <c r="I13" s="138"/>
      <c r="J13" s="136"/>
      <c r="K13" s="137"/>
      <c r="L13" s="136"/>
      <c r="M13" s="138"/>
      <c r="N13" s="155"/>
      <c r="O13" s="137"/>
      <c r="P13" s="138"/>
      <c r="Q13" s="138"/>
      <c r="R13" s="77"/>
      <c r="S13" s="78"/>
    </row>
    <row r="14" spans="1:23" s="76" customFormat="1" ht="15" x14ac:dyDescent="0.2">
      <c r="A14" s="55" t="s">
        <v>1124</v>
      </c>
      <c r="B14" s="80">
        <v>0</v>
      </c>
      <c r="C14" s="23" t="s">
        <v>880</v>
      </c>
      <c r="D14" s="79">
        <v>0.2</v>
      </c>
      <c r="E14" s="22" t="s">
        <v>277</v>
      </c>
      <c r="F14" s="21">
        <v>71.7</v>
      </c>
      <c r="G14" s="23" t="s">
        <v>4</v>
      </c>
      <c r="H14" s="138">
        <v>225.8</v>
      </c>
      <c r="I14" s="22" t="s">
        <v>5</v>
      </c>
      <c r="J14" s="136">
        <v>540.29999999999995</v>
      </c>
      <c r="K14" s="23" t="s">
        <v>1357</v>
      </c>
      <c r="L14" s="21">
        <v>805.2</v>
      </c>
      <c r="M14" s="22" t="s">
        <v>1402</v>
      </c>
      <c r="N14" s="154">
        <v>916.5</v>
      </c>
      <c r="O14" s="23" t="s">
        <v>128</v>
      </c>
      <c r="P14" s="16">
        <v>946.1</v>
      </c>
      <c r="Q14" s="16" t="s">
        <v>3</v>
      </c>
      <c r="R14" s="193">
        <v>946.9</v>
      </c>
      <c r="S14" s="189" t="s">
        <v>1458</v>
      </c>
    </row>
    <row r="15" spans="1:23" s="76" customFormat="1" ht="15" x14ac:dyDescent="0.2">
      <c r="A15" s="55" t="s">
        <v>1125</v>
      </c>
      <c r="B15" s="80">
        <v>0</v>
      </c>
      <c r="C15" s="23" t="s">
        <v>880</v>
      </c>
      <c r="D15" s="79">
        <v>1.5</v>
      </c>
      <c r="E15" s="22" t="s">
        <v>279</v>
      </c>
      <c r="F15" s="21">
        <v>84.3</v>
      </c>
      <c r="G15" s="23" t="s">
        <v>7</v>
      </c>
      <c r="H15" s="57">
        <v>241.3</v>
      </c>
      <c r="I15" s="22" t="s">
        <v>8</v>
      </c>
      <c r="J15" s="136">
        <v>576</v>
      </c>
      <c r="K15" s="23" t="s">
        <v>1358</v>
      </c>
      <c r="L15" s="21">
        <v>844.5</v>
      </c>
      <c r="M15" s="22" t="s">
        <v>1403</v>
      </c>
      <c r="N15" s="154">
        <v>957.1</v>
      </c>
      <c r="O15" s="23" t="s">
        <v>129</v>
      </c>
      <c r="P15" s="16">
        <v>994.1</v>
      </c>
      <c r="Q15" s="16" t="s">
        <v>6</v>
      </c>
      <c r="R15" s="193">
        <v>995.6</v>
      </c>
      <c r="S15" s="189" t="s">
        <v>1459</v>
      </c>
    </row>
    <row r="16" spans="1:23" s="76" customFormat="1" ht="15.75" thickBot="1" x14ac:dyDescent="0.25">
      <c r="A16" s="55" t="s">
        <v>902</v>
      </c>
      <c r="B16" s="80">
        <v>0</v>
      </c>
      <c r="C16" s="23" t="s">
        <v>880</v>
      </c>
      <c r="D16" s="79">
        <v>2</v>
      </c>
      <c r="E16" s="22" t="s">
        <v>547</v>
      </c>
      <c r="F16" s="21">
        <v>90.3</v>
      </c>
      <c r="G16" s="23" t="s">
        <v>10</v>
      </c>
      <c r="H16" s="57">
        <v>258.5</v>
      </c>
      <c r="I16" s="22" t="s">
        <v>11</v>
      </c>
      <c r="J16" s="136">
        <v>604.5</v>
      </c>
      <c r="K16" s="23" t="s">
        <v>1359</v>
      </c>
      <c r="L16" s="21">
        <v>871.7</v>
      </c>
      <c r="M16" s="22" t="s">
        <v>1404</v>
      </c>
      <c r="N16" s="154">
        <v>992.2</v>
      </c>
      <c r="O16" s="23" t="s">
        <v>130</v>
      </c>
      <c r="P16" s="16">
        <v>1034.3</v>
      </c>
      <c r="Q16" s="16" t="s">
        <v>9</v>
      </c>
      <c r="R16" s="193">
        <v>1035.8</v>
      </c>
      <c r="S16" s="189" t="s">
        <v>1460</v>
      </c>
    </row>
    <row r="17" spans="1:19" s="174" customFormat="1" ht="17.25" thickBot="1" x14ac:dyDescent="0.3">
      <c r="A17" s="167" t="s">
        <v>440</v>
      </c>
      <c r="B17" s="126">
        <f>AVERAGE(B14:B16)</f>
        <v>0</v>
      </c>
      <c r="C17" s="127"/>
      <c r="D17" s="128">
        <f>AVERAGE(D14:D16)</f>
        <v>1.2333333333333334</v>
      </c>
      <c r="E17" s="129"/>
      <c r="F17" s="130">
        <f>AVERAGE(F14:F16)</f>
        <v>82.100000000000009</v>
      </c>
      <c r="G17" s="127"/>
      <c r="H17" s="175">
        <f>AVERAGE(H14:H16)</f>
        <v>241.86666666666667</v>
      </c>
      <c r="I17" s="129"/>
      <c r="J17" s="169">
        <f>AVERAGE(J14:J16)</f>
        <v>573.6</v>
      </c>
      <c r="K17" s="170"/>
      <c r="L17" s="169">
        <f>AVERAGE(L14:L16)</f>
        <v>840.4666666666667</v>
      </c>
      <c r="M17" s="172"/>
      <c r="N17" s="169">
        <f>AVERAGE(N14:N16)</f>
        <v>955.26666666666677</v>
      </c>
      <c r="O17" s="173"/>
      <c r="P17" s="187">
        <f>AVERAGE(P14:P16)</f>
        <v>991.5</v>
      </c>
      <c r="Q17" s="192"/>
      <c r="R17" s="169">
        <f>AVERAGE(R14:R16)</f>
        <v>992.76666666666677</v>
      </c>
      <c r="S17" s="173"/>
    </row>
    <row r="18" spans="1:19" s="76" customFormat="1" ht="16.5" x14ac:dyDescent="0.2">
      <c r="A18" s="51" t="s">
        <v>1126</v>
      </c>
      <c r="B18" s="136"/>
      <c r="C18" s="137"/>
      <c r="D18" s="138"/>
      <c r="E18" s="138"/>
      <c r="F18" s="136"/>
      <c r="G18" s="137"/>
      <c r="H18" s="138"/>
      <c r="I18" s="138"/>
      <c r="J18" s="136"/>
      <c r="K18" s="137"/>
      <c r="L18" s="136"/>
      <c r="M18" s="138"/>
      <c r="N18" s="155"/>
      <c r="O18" s="137"/>
      <c r="P18" s="138"/>
      <c r="Q18" s="138"/>
      <c r="R18" s="77"/>
      <c r="S18" s="78"/>
    </row>
    <row r="19" spans="1:19" s="76" customFormat="1" ht="15" x14ac:dyDescent="0.2">
      <c r="A19" s="55" t="s">
        <v>1127</v>
      </c>
      <c r="B19" s="80">
        <v>0</v>
      </c>
      <c r="C19" s="23" t="s">
        <v>880</v>
      </c>
      <c r="D19" s="79">
        <v>16.8</v>
      </c>
      <c r="E19" s="22" t="s">
        <v>1091</v>
      </c>
      <c r="F19" s="21">
        <v>158</v>
      </c>
      <c r="G19" s="23" t="s">
        <v>14</v>
      </c>
      <c r="H19" s="57">
        <v>364.5</v>
      </c>
      <c r="I19" s="22" t="s">
        <v>15</v>
      </c>
      <c r="J19" s="136">
        <v>672</v>
      </c>
      <c r="K19" s="23" t="s">
        <v>1360</v>
      </c>
      <c r="L19" s="21">
        <v>970.9</v>
      </c>
      <c r="M19" s="22" t="s">
        <v>1405</v>
      </c>
      <c r="N19" s="154">
        <v>1100.5999999999999</v>
      </c>
      <c r="O19" s="23" t="s">
        <v>131</v>
      </c>
      <c r="P19" s="16">
        <v>1150.0999999999999</v>
      </c>
      <c r="Q19" s="16" t="s">
        <v>12</v>
      </c>
      <c r="R19" s="193">
        <v>1152.9000000000001</v>
      </c>
      <c r="S19" s="189" t="s">
        <v>1461</v>
      </c>
    </row>
    <row r="20" spans="1:19" s="76" customFormat="1" ht="15.75" thickBot="1" x14ac:dyDescent="0.25">
      <c r="A20" s="55" t="s">
        <v>1128</v>
      </c>
      <c r="B20" s="80">
        <v>0</v>
      </c>
      <c r="C20" s="23" t="s">
        <v>880</v>
      </c>
      <c r="D20" s="79">
        <v>26.6</v>
      </c>
      <c r="E20" s="22" t="s">
        <v>16</v>
      </c>
      <c r="F20" s="21">
        <v>189.2</v>
      </c>
      <c r="G20" s="23" t="s">
        <v>17</v>
      </c>
      <c r="H20" s="57">
        <v>398.3</v>
      </c>
      <c r="I20" s="22" t="s">
        <v>18</v>
      </c>
      <c r="J20" s="136">
        <v>742.8</v>
      </c>
      <c r="K20" s="23" t="s">
        <v>1361</v>
      </c>
      <c r="L20" s="21">
        <v>1014.2</v>
      </c>
      <c r="M20" s="22" t="s">
        <v>1406</v>
      </c>
      <c r="N20" s="154">
        <v>1152.5</v>
      </c>
      <c r="O20" s="23" t="s">
        <v>132</v>
      </c>
      <c r="P20" s="16">
        <v>1221.3</v>
      </c>
      <c r="Q20" s="16" t="s">
        <v>13</v>
      </c>
      <c r="R20" s="193">
        <v>1225.0999999999999</v>
      </c>
      <c r="S20" s="189" t="s">
        <v>1462</v>
      </c>
    </row>
    <row r="21" spans="1:19" s="174" customFormat="1" ht="17.25" thickBot="1" x14ac:dyDescent="0.3">
      <c r="A21" s="167" t="s">
        <v>440</v>
      </c>
      <c r="B21" s="126">
        <f>AVERAGE(B19:B20)</f>
        <v>0</v>
      </c>
      <c r="C21" s="127"/>
      <c r="D21" s="128">
        <f>AVERAGE(D19:D20)</f>
        <v>21.700000000000003</v>
      </c>
      <c r="E21" s="129"/>
      <c r="F21" s="130">
        <f>AVERAGE(F19:F20)</f>
        <v>173.6</v>
      </c>
      <c r="G21" s="127"/>
      <c r="H21" s="168">
        <f>AVERAGE(H19:H20)</f>
        <v>381.4</v>
      </c>
      <c r="I21" s="129"/>
      <c r="J21" s="169">
        <f>AVERAGE(J19:J20)</f>
        <v>707.4</v>
      </c>
      <c r="K21" s="170"/>
      <c r="L21" s="169">
        <f>AVERAGE(L19:L20)</f>
        <v>992.55</v>
      </c>
      <c r="M21" s="176"/>
      <c r="N21" s="169">
        <f>AVERAGE(N19:N20)</f>
        <v>1126.55</v>
      </c>
      <c r="O21" s="173"/>
      <c r="P21" s="187">
        <f>AVERAGE(P19:P20)</f>
        <v>1185.6999999999998</v>
      </c>
      <c r="Q21" s="192"/>
      <c r="R21" s="169">
        <f>AVERAGE(R19:R20)</f>
        <v>1189</v>
      </c>
      <c r="S21" s="173"/>
    </row>
    <row r="22" spans="1:19" s="76" customFormat="1" ht="16.5" x14ac:dyDescent="0.2">
      <c r="A22" s="51" t="s">
        <v>1129</v>
      </c>
      <c r="B22" s="136"/>
      <c r="C22" s="137"/>
      <c r="D22" s="138"/>
      <c r="E22" s="138"/>
      <c r="F22" s="136"/>
      <c r="G22" s="137"/>
      <c r="H22" s="138"/>
      <c r="I22" s="138"/>
      <c r="J22" s="136"/>
      <c r="K22" s="137"/>
      <c r="L22" s="136"/>
      <c r="M22" s="138"/>
      <c r="N22" s="155"/>
      <c r="O22" s="137"/>
      <c r="P22" s="138"/>
      <c r="Q22" s="138"/>
      <c r="R22" s="77"/>
      <c r="S22" s="78"/>
    </row>
    <row r="23" spans="1:19" s="76" customFormat="1" ht="15" x14ac:dyDescent="0.2">
      <c r="A23" s="55" t="s">
        <v>1130</v>
      </c>
      <c r="B23" s="80">
        <v>0</v>
      </c>
      <c r="C23" s="23" t="s">
        <v>880</v>
      </c>
      <c r="D23" s="79">
        <v>11.7</v>
      </c>
      <c r="E23" s="22" t="s">
        <v>627</v>
      </c>
      <c r="F23" s="21">
        <v>123.7</v>
      </c>
      <c r="G23" s="23" t="s">
        <v>21</v>
      </c>
      <c r="H23" s="156">
        <v>273</v>
      </c>
      <c r="I23" s="22" t="s">
        <v>22</v>
      </c>
      <c r="J23" s="136">
        <v>586</v>
      </c>
      <c r="K23" s="23" t="s">
        <v>1362</v>
      </c>
      <c r="L23" s="21">
        <v>841.2</v>
      </c>
      <c r="M23" s="22" t="s">
        <v>1407</v>
      </c>
      <c r="N23" s="154">
        <v>946.7</v>
      </c>
      <c r="O23" s="23" t="s">
        <v>133</v>
      </c>
      <c r="P23" s="16">
        <v>978.9</v>
      </c>
      <c r="Q23" s="16" t="s">
        <v>19</v>
      </c>
      <c r="R23" s="193">
        <v>980.8</v>
      </c>
      <c r="S23" s="189" t="s">
        <v>1463</v>
      </c>
    </row>
    <row r="24" spans="1:19" s="76" customFormat="1" ht="15.75" thickBot="1" x14ac:dyDescent="0.25">
      <c r="A24" s="55" t="s">
        <v>1131</v>
      </c>
      <c r="B24" s="80">
        <v>0</v>
      </c>
      <c r="C24" s="23" t="s">
        <v>880</v>
      </c>
      <c r="D24" s="79">
        <v>15.1</v>
      </c>
      <c r="E24" s="22" t="s">
        <v>24</v>
      </c>
      <c r="F24" s="21">
        <v>129.19999999999999</v>
      </c>
      <c r="G24" s="23" t="s">
        <v>25</v>
      </c>
      <c r="H24" s="57">
        <v>320.89999999999998</v>
      </c>
      <c r="I24" s="22" t="s">
        <v>26</v>
      </c>
      <c r="J24" s="136">
        <v>632.1</v>
      </c>
      <c r="K24" s="23" t="s">
        <v>1363</v>
      </c>
      <c r="L24" s="21">
        <v>886.9</v>
      </c>
      <c r="M24" s="22" t="s">
        <v>1408</v>
      </c>
      <c r="N24" s="154">
        <v>1003.2</v>
      </c>
      <c r="O24" s="23" t="s">
        <v>134</v>
      </c>
      <c r="P24" s="16">
        <v>1043.3</v>
      </c>
      <c r="Q24" s="16" t="s">
        <v>20</v>
      </c>
      <c r="R24" s="193">
        <v>1046.0999999999999</v>
      </c>
      <c r="S24" s="189" t="s">
        <v>1464</v>
      </c>
    </row>
    <row r="25" spans="1:19" s="174" customFormat="1" ht="17.25" thickBot="1" x14ac:dyDescent="0.3">
      <c r="A25" s="167" t="s">
        <v>440</v>
      </c>
      <c r="B25" s="126">
        <f>AVERAGE(B23:B24)</f>
        <v>0</v>
      </c>
      <c r="C25" s="127"/>
      <c r="D25" s="128">
        <f>AVERAGE(D23:D24)</f>
        <v>13.399999999999999</v>
      </c>
      <c r="E25" s="129"/>
      <c r="F25" s="130">
        <f>AVERAGE(F23:F24)</f>
        <v>126.44999999999999</v>
      </c>
      <c r="G25" s="127"/>
      <c r="H25" s="175">
        <f>AVERAGE(H23:H24)</f>
        <v>296.95</v>
      </c>
      <c r="I25" s="129"/>
      <c r="J25" s="169">
        <f>AVERAGE(J23:J24)</f>
        <v>609.04999999999995</v>
      </c>
      <c r="K25" s="170"/>
      <c r="L25" s="169">
        <f>AVERAGE(L23:L24)</f>
        <v>864.05</v>
      </c>
      <c r="M25" s="176"/>
      <c r="N25" s="169">
        <f>AVERAGE(N23:N24)</f>
        <v>974.95</v>
      </c>
      <c r="O25" s="173"/>
      <c r="P25" s="187">
        <f>AVERAGE(P23:P24)</f>
        <v>1011.0999999999999</v>
      </c>
      <c r="Q25" s="192"/>
      <c r="R25" s="169">
        <f>AVERAGE(R23:R24)</f>
        <v>1013.4499999999999</v>
      </c>
      <c r="S25" s="173"/>
    </row>
    <row r="26" spans="1:19" s="76" customFormat="1" ht="16.5" x14ac:dyDescent="0.2">
      <c r="A26" s="51" t="s">
        <v>1132</v>
      </c>
      <c r="B26" s="136"/>
      <c r="C26" s="137"/>
      <c r="D26" s="138"/>
      <c r="E26" s="138"/>
      <c r="F26" s="136"/>
      <c r="G26" s="137"/>
      <c r="H26" s="138"/>
      <c r="I26" s="138"/>
      <c r="J26" s="136"/>
      <c r="K26" s="137"/>
      <c r="L26" s="136"/>
      <c r="M26" s="138"/>
      <c r="N26" s="155"/>
      <c r="O26" s="137"/>
      <c r="P26" s="138"/>
      <c r="Q26" s="138"/>
      <c r="R26" s="77"/>
      <c r="S26" s="78"/>
    </row>
    <row r="27" spans="1:19" s="76" customFormat="1" ht="15" x14ac:dyDescent="0.2">
      <c r="A27" s="55" t="s">
        <v>1133</v>
      </c>
      <c r="B27" s="80">
        <v>0</v>
      </c>
      <c r="C27" s="23" t="s">
        <v>880</v>
      </c>
      <c r="D27" s="79">
        <v>17.100000000000001</v>
      </c>
      <c r="E27" s="22" t="s">
        <v>256</v>
      </c>
      <c r="F27" s="21">
        <v>150.4</v>
      </c>
      <c r="G27" s="23" t="s">
        <v>29</v>
      </c>
      <c r="H27" s="138">
        <v>371.4</v>
      </c>
      <c r="I27" s="22" t="s">
        <v>30</v>
      </c>
      <c r="J27" s="136">
        <v>722.5</v>
      </c>
      <c r="K27" s="23" t="s">
        <v>1364</v>
      </c>
      <c r="L27" s="21">
        <v>988.6</v>
      </c>
      <c r="M27" s="22" t="s">
        <v>1409</v>
      </c>
      <c r="N27" s="154">
        <v>1113.4000000000001</v>
      </c>
      <c r="O27" s="23" t="s">
        <v>135</v>
      </c>
      <c r="P27" s="16">
        <v>1164.4000000000001</v>
      </c>
      <c r="Q27" s="16" t="s">
        <v>23</v>
      </c>
      <c r="R27" s="193">
        <v>1169.7</v>
      </c>
      <c r="S27" s="189" t="s">
        <v>1465</v>
      </c>
    </row>
    <row r="28" spans="1:19" s="76" customFormat="1" ht="15" x14ac:dyDescent="0.2">
      <c r="A28" s="55" t="s">
        <v>1134</v>
      </c>
      <c r="B28" s="80">
        <v>0</v>
      </c>
      <c r="C28" s="23" t="s">
        <v>880</v>
      </c>
      <c r="D28" s="79">
        <v>18</v>
      </c>
      <c r="E28" s="22" t="s">
        <v>548</v>
      </c>
      <c r="F28" s="21">
        <v>163.5</v>
      </c>
      <c r="G28" s="23" t="s">
        <v>32</v>
      </c>
      <c r="H28" s="138">
        <v>380.4</v>
      </c>
      <c r="I28" s="22" t="s">
        <v>33</v>
      </c>
      <c r="J28" s="136">
        <v>731.1</v>
      </c>
      <c r="K28" s="23" t="s">
        <v>1365</v>
      </c>
      <c r="L28" s="21">
        <v>999.6</v>
      </c>
      <c r="M28" s="22" t="s">
        <v>1410</v>
      </c>
      <c r="N28" s="154">
        <v>1130.7</v>
      </c>
      <c r="O28" s="23" t="s">
        <v>136</v>
      </c>
      <c r="P28" s="16">
        <v>1184.0999999999999</v>
      </c>
      <c r="Q28" s="16" t="s">
        <v>27</v>
      </c>
      <c r="R28" s="193">
        <v>1188.3</v>
      </c>
      <c r="S28" s="189" t="s">
        <v>1466</v>
      </c>
    </row>
    <row r="29" spans="1:19" s="76" customFormat="1" ht="15.75" thickBot="1" x14ac:dyDescent="0.25">
      <c r="A29" s="55" t="s">
        <v>1135</v>
      </c>
      <c r="B29" s="80">
        <v>0</v>
      </c>
      <c r="C29" s="23" t="s">
        <v>880</v>
      </c>
      <c r="D29" s="79">
        <v>17</v>
      </c>
      <c r="E29" s="22" t="s">
        <v>35</v>
      </c>
      <c r="F29" s="21">
        <v>153.80000000000001</v>
      </c>
      <c r="G29" s="23" t="s">
        <v>36</v>
      </c>
      <c r="H29" s="57">
        <v>362.2</v>
      </c>
      <c r="I29" s="22" t="s">
        <v>37</v>
      </c>
      <c r="J29" s="136">
        <v>715.4</v>
      </c>
      <c r="K29" s="23" t="s">
        <v>1366</v>
      </c>
      <c r="L29" s="21">
        <v>995.8</v>
      </c>
      <c r="M29" s="22" t="s">
        <v>1411</v>
      </c>
      <c r="N29" s="154">
        <v>1128.5999999999999</v>
      </c>
      <c r="O29" s="23" t="s">
        <v>137</v>
      </c>
      <c r="P29" s="16">
        <v>1183.3</v>
      </c>
      <c r="Q29" s="16" t="s">
        <v>28</v>
      </c>
      <c r="R29" s="193">
        <v>1187.3</v>
      </c>
      <c r="S29" s="189" t="s">
        <v>1467</v>
      </c>
    </row>
    <row r="30" spans="1:19" s="174" customFormat="1" ht="17.25" thickBot="1" x14ac:dyDescent="0.3">
      <c r="A30" s="167" t="s">
        <v>440</v>
      </c>
      <c r="B30" s="126">
        <f>AVERAGE(B27:B29)</f>
        <v>0</v>
      </c>
      <c r="C30" s="127"/>
      <c r="D30" s="128">
        <f>AVERAGE(D27:D29)</f>
        <v>17.366666666666667</v>
      </c>
      <c r="E30" s="129"/>
      <c r="F30" s="130">
        <f>AVERAGE(F27:F29)</f>
        <v>155.9</v>
      </c>
      <c r="G30" s="127"/>
      <c r="H30" s="175">
        <f>AVERAGE(H27:H29)</f>
        <v>371.33333333333331</v>
      </c>
      <c r="I30" s="129"/>
      <c r="J30" s="169">
        <f>AVERAGE(J27:J29)</f>
        <v>723</v>
      </c>
      <c r="K30" s="173"/>
      <c r="L30" s="169">
        <f>AVERAGE(L27:L29)</f>
        <v>994.66666666666663</v>
      </c>
      <c r="M30" s="176"/>
      <c r="N30" s="169">
        <f>AVERAGE(N27:N29)</f>
        <v>1124.2333333333333</v>
      </c>
      <c r="O30" s="173"/>
      <c r="P30" s="188">
        <f>AVERAGE(P27:P29)</f>
        <v>1177.2666666666667</v>
      </c>
      <c r="Q30" s="192"/>
      <c r="R30" s="169">
        <f>AVERAGE(R27:R29)</f>
        <v>1181.7666666666667</v>
      </c>
      <c r="S30" s="173"/>
    </row>
    <row r="31" spans="1:19" s="76" customFormat="1" ht="16.5" x14ac:dyDescent="0.2">
      <c r="A31" s="51" t="s">
        <v>1136</v>
      </c>
      <c r="B31" s="136"/>
      <c r="C31" s="137"/>
      <c r="D31" s="138"/>
      <c r="E31" s="138"/>
      <c r="F31" s="136"/>
      <c r="G31" s="137"/>
      <c r="H31" s="138"/>
      <c r="I31" s="138"/>
      <c r="J31" s="136"/>
      <c r="K31" s="137"/>
      <c r="L31" s="136"/>
      <c r="M31" s="138"/>
      <c r="N31" s="155"/>
      <c r="O31" s="137"/>
      <c r="P31" s="138"/>
      <c r="Q31" s="138"/>
      <c r="R31" s="77"/>
      <c r="S31" s="78"/>
    </row>
    <row r="32" spans="1:19" s="76" customFormat="1" ht="15" x14ac:dyDescent="0.2">
      <c r="A32" s="55" t="s">
        <v>1137</v>
      </c>
      <c r="B32" s="80">
        <v>0</v>
      </c>
      <c r="C32" s="23" t="s">
        <v>880</v>
      </c>
      <c r="D32" s="79">
        <v>4</v>
      </c>
      <c r="E32" s="22" t="s">
        <v>425</v>
      </c>
      <c r="F32" s="21">
        <v>103.6</v>
      </c>
      <c r="G32" s="23" t="s">
        <v>40</v>
      </c>
      <c r="H32" s="57">
        <v>284.10000000000002</v>
      </c>
      <c r="I32" s="22" t="s">
        <v>41</v>
      </c>
      <c r="J32" s="136">
        <v>592.9</v>
      </c>
      <c r="K32" s="23" t="s">
        <v>1367</v>
      </c>
      <c r="L32" s="21">
        <v>844.1</v>
      </c>
      <c r="M32" s="22" t="s">
        <v>1412</v>
      </c>
      <c r="N32" s="154">
        <v>945.2</v>
      </c>
      <c r="O32" s="23" t="s">
        <v>138</v>
      </c>
      <c r="P32" s="16">
        <v>983.7</v>
      </c>
      <c r="Q32" s="16" t="s">
        <v>31</v>
      </c>
      <c r="R32" s="193">
        <v>985.7</v>
      </c>
      <c r="S32" s="189" t="s">
        <v>1468</v>
      </c>
    </row>
    <row r="33" spans="1:19" s="76" customFormat="1" ht="15.75" thickBot="1" x14ac:dyDescent="0.25">
      <c r="A33" s="55" t="s">
        <v>1138</v>
      </c>
      <c r="B33" s="80">
        <v>0</v>
      </c>
      <c r="C33" s="23" t="s">
        <v>880</v>
      </c>
      <c r="D33" s="79">
        <v>15.8</v>
      </c>
      <c r="E33" s="22" t="s">
        <v>43</v>
      </c>
      <c r="F33" s="21">
        <v>163</v>
      </c>
      <c r="G33" s="23" t="s">
        <v>44</v>
      </c>
      <c r="H33" s="57">
        <v>379.5</v>
      </c>
      <c r="I33" s="22" t="s">
        <v>45</v>
      </c>
      <c r="J33" s="136">
        <v>729.2</v>
      </c>
      <c r="K33" s="23" t="s">
        <v>1368</v>
      </c>
      <c r="L33" s="21">
        <v>1012.9</v>
      </c>
      <c r="M33" s="22" t="s">
        <v>1413</v>
      </c>
      <c r="N33" s="154">
        <v>1143.4000000000001</v>
      </c>
      <c r="O33" s="23" t="s">
        <v>139</v>
      </c>
      <c r="P33" s="16">
        <v>1201.9000000000001</v>
      </c>
      <c r="Q33" s="16" t="s">
        <v>34</v>
      </c>
      <c r="R33" s="193">
        <v>1205</v>
      </c>
      <c r="S33" s="189" t="s">
        <v>1469</v>
      </c>
    </row>
    <row r="34" spans="1:19" s="174" customFormat="1" ht="17.25" thickBot="1" x14ac:dyDescent="0.3">
      <c r="A34" s="167" t="s">
        <v>440</v>
      </c>
      <c r="B34" s="126">
        <f>AVERAGE(B32:B33)</f>
        <v>0</v>
      </c>
      <c r="C34" s="127"/>
      <c r="D34" s="128">
        <f>AVERAGE(D32:D33)</f>
        <v>9.9</v>
      </c>
      <c r="E34" s="129"/>
      <c r="F34" s="130">
        <f>AVERAGE(F32:F33)</f>
        <v>133.30000000000001</v>
      </c>
      <c r="G34" s="127"/>
      <c r="H34" s="168">
        <f>AVERAGE(H32:H33)</f>
        <v>331.8</v>
      </c>
      <c r="I34" s="129"/>
      <c r="J34" s="169">
        <f>AVERAGE(J32:J33)</f>
        <v>661.05</v>
      </c>
      <c r="K34" s="170"/>
      <c r="L34" s="171">
        <f>AVERAGE(L32:L33)</f>
        <v>928.5</v>
      </c>
      <c r="M34" s="172"/>
      <c r="N34" s="169">
        <f>AVERAGE(N32:N33)</f>
        <v>1044.3000000000002</v>
      </c>
      <c r="O34" s="173"/>
      <c r="P34" s="187">
        <f>AVERAGE(P32:P33)</f>
        <v>1092.8000000000002</v>
      </c>
      <c r="Q34" s="192"/>
      <c r="R34" s="169">
        <f>AVERAGE(R32:R33)</f>
        <v>1095.3499999999999</v>
      </c>
      <c r="S34" s="173"/>
    </row>
    <row r="35" spans="1:19" s="76" customFormat="1" ht="16.5" x14ac:dyDescent="0.2">
      <c r="A35" s="51" t="s">
        <v>1139</v>
      </c>
      <c r="B35" s="136"/>
      <c r="C35" s="137"/>
      <c r="D35" s="138"/>
      <c r="E35" s="138"/>
      <c r="F35" s="136"/>
      <c r="G35" s="137"/>
      <c r="H35" s="138"/>
      <c r="I35" s="138"/>
      <c r="J35" s="136"/>
      <c r="K35" s="137"/>
      <c r="L35" s="136"/>
      <c r="M35" s="138"/>
      <c r="N35" s="155"/>
      <c r="O35" s="137"/>
      <c r="P35" s="138"/>
      <c r="Q35" s="138"/>
      <c r="R35" s="77"/>
      <c r="S35" s="78"/>
    </row>
    <row r="36" spans="1:19" s="76" customFormat="1" ht="15" x14ac:dyDescent="0.2">
      <c r="A36" s="55" t="s">
        <v>1140</v>
      </c>
      <c r="B36" s="80">
        <v>0</v>
      </c>
      <c r="C36" s="23" t="s">
        <v>880</v>
      </c>
      <c r="D36" s="79">
        <v>6.1</v>
      </c>
      <c r="E36" s="22" t="s">
        <v>48</v>
      </c>
      <c r="F36" s="21">
        <v>108.5</v>
      </c>
      <c r="G36" s="23" t="s">
        <v>49</v>
      </c>
      <c r="H36" s="57">
        <v>290.60000000000002</v>
      </c>
      <c r="I36" s="22" t="s">
        <v>50</v>
      </c>
      <c r="J36" s="136">
        <v>596.79999999999995</v>
      </c>
      <c r="K36" s="23" t="s">
        <v>1369</v>
      </c>
      <c r="L36" s="21">
        <v>843.3</v>
      </c>
      <c r="M36" s="22" t="s">
        <v>1414</v>
      </c>
      <c r="N36" s="154">
        <v>937.7</v>
      </c>
      <c r="O36" s="23" t="s">
        <v>140</v>
      </c>
      <c r="P36" s="16">
        <v>979.2</v>
      </c>
      <c r="Q36" s="16" t="s">
        <v>38</v>
      </c>
      <c r="R36" s="193">
        <v>979.5</v>
      </c>
      <c r="S36" s="189" t="s">
        <v>1470</v>
      </c>
    </row>
    <row r="37" spans="1:19" s="76" customFormat="1" ht="15" x14ac:dyDescent="0.2">
      <c r="A37" s="55" t="s">
        <v>1141</v>
      </c>
      <c r="B37" s="80">
        <v>0</v>
      </c>
      <c r="C37" s="23" t="s">
        <v>979</v>
      </c>
      <c r="D37" s="79">
        <v>15.3</v>
      </c>
      <c r="E37" s="22" t="s">
        <v>51</v>
      </c>
      <c r="F37" s="21">
        <v>159.9</v>
      </c>
      <c r="G37" s="23" t="s">
        <v>52</v>
      </c>
      <c r="H37" s="57">
        <v>361</v>
      </c>
      <c r="I37" s="22" t="s">
        <v>53</v>
      </c>
      <c r="J37" s="136">
        <v>701.8</v>
      </c>
      <c r="K37" s="23" t="s">
        <v>1370</v>
      </c>
      <c r="L37" s="21">
        <v>977.7</v>
      </c>
      <c r="M37" s="22" t="s">
        <v>1415</v>
      </c>
      <c r="N37" s="154">
        <v>1096.7</v>
      </c>
      <c r="O37" s="23" t="s">
        <v>141</v>
      </c>
      <c r="P37" s="16">
        <v>1157.8</v>
      </c>
      <c r="Q37" s="16" t="s">
        <v>39</v>
      </c>
      <c r="R37" s="193">
        <v>1159.8</v>
      </c>
      <c r="S37" s="189" t="s">
        <v>1471</v>
      </c>
    </row>
    <row r="38" spans="1:19" s="76" customFormat="1" ht="15.75" thickBot="1" x14ac:dyDescent="0.25">
      <c r="A38" s="55" t="s">
        <v>1142</v>
      </c>
      <c r="B38" s="80">
        <v>0</v>
      </c>
      <c r="C38" s="23" t="s">
        <v>880</v>
      </c>
      <c r="D38" s="79">
        <v>20.6</v>
      </c>
      <c r="E38" s="22" t="s">
        <v>55</v>
      </c>
      <c r="F38" s="21">
        <v>176.8</v>
      </c>
      <c r="G38" s="23" t="s">
        <v>56</v>
      </c>
      <c r="H38" s="57">
        <v>383.4</v>
      </c>
      <c r="I38" s="22" t="s">
        <v>57</v>
      </c>
      <c r="J38" s="136">
        <v>723.1</v>
      </c>
      <c r="K38" s="23" t="s">
        <v>1371</v>
      </c>
      <c r="L38" s="21">
        <v>1005.9</v>
      </c>
      <c r="M38" s="22" t="s">
        <v>1416</v>
      </c>
      <c r="N38" s="154">
        <v>1144.0999999999999</v>
      </c>
      <c r="O38" s="23" t="s">
        <v>142</v>
      </c>
      <c r="P38" s="16">
        <v>1215.4000000000001</v>
      </c>
      <c r="Q38" s="16" t="s">
        <v>42</v>
      </c>
      <c r="R38" s="193">
        <v>1218.9000000000001</v>
      </c>
      <c r="S38" s="189" t="s">
        <v>1472</v>
      </c>
    </row>
    <row r="39" spans="1:19" s="174" customFormat="1" ht="17.25" thickBot="1" x14ac:dyDescent="0.3">
      <c r="A39" s="167" t="s">
        <v>440</v>
      </c>
      <c r="B39" s="126">
        <f>AVERAGE(B36:B38)</f>
        <v>0</v>
      </c>
      <c r="C39" s="127"/>
      <c r="D39" s="128">
        <f>AVERAGE(D36:D38)</f>
        <v>14</v>
      </c>
      <c r="E39" s="129"/>
      <c r="F39" s="130">
        <f>AVERAGE(F36:F38)</f>
        <v>148.4</v>
      </c>
      <c r="G39" s="127"/>
      <c r="H39" s="175">
        <f>AVERAGE(H36:H38)</f>
        <v>345</v>
      </c>
      <c r="I39" s="129"/>
      <c r="J39" s="169">
        <f>AVERAGE(J36:J38)</f>
        <v>673.9</v>
      </c>
      <c r="K39" s="177"/>
      <c r="L39" s="171">
        <f>AVERAGE(L36:L38)</f>
        <v>942.30000000000007</v>
      </c>
      <c r="M39" s="172"/>
      <c r="N39" s="169">
        <f>AVERAGE(N36:N38)</f>
        <v>1059.5</v>
      </c>
      <c r="O39" s="173"/>
      <c r="P39" s="188">
        <f>AVERAGE(P36:P38)</f>
        <v>1117.4666666666667</v>
      </c>
      <c r="Q39" s="192"/>
      <c r="R39" s="171">
        <f>AVERAGE(R36:R38)</f>
        <v>1119.4000000000001</v>
      </c>
      <c r="S39" s="173"/>
    </row>
    <row r="40" spans="1:19" s="76" customFormat="1" ht="16.5" x14ac:dyDescent="0.2">
      <c r="A40" s="53" t="s">
        <v>1341</v>
      </c>
      <c r="B40" s="136"/>
      <c r="C40" s="137"/>
      <c r="D40" s="138"/>
      <c r="E40" s="138"/>
      <c r="F40" s="136"/>
      <c r="G40" s="137"/>
      <c r="H40" s="138"/>
      <c r="I40" s="138"/>
      <c r="J40" s="136"/>
      <c r="K40" s="137"/>
      <c r="L40" s="136"/>
      <c r="M40" s="138"/>
      <c r="N40" s="155"/>
      <c r="O40" s="137"/>
      <c r="P40" s="138"/>
      <c r="Q40" s="138"/>
      <c r="R40" s="77"/>
      <c r="S40" s="78"/>
    </row>
    <row r="41" spans="1:19" s="76" customFormat="1" ht="15" x14ac:dyDescent="0.2">
      <c r="A41" s="10" t="s">
        <v>1342</v>
      </c>
      <c r="B41" s="154">
        <v>0</v>
      </c>
      <c r="C41" s="157" t="s">
        <v>880</v>
      </c>
      <c r="D41" s="158">
        <v>12</v>
      </c>
      <c r="E41" s="159" t="s">
        <v>404</v>
      </c>
      <c r="F41" s="160">
        <v>145</v>
      </c>
      <c r="G41" s="23" t="s">
        <v>405</v>
      </c>
      <c r="H41" s="161">
        <v>339.7</v>
      </c>
      <c r="I41" s="22" t="s">
        <v>406</v>
      </c>
      <c r="J41" s="136">
        <v>678</v>
      </c>
      <c r="K41" s="23" t="s">
        <v>1372</v>
      </c>
      <c r="L41" s="21">
        <v>954</v>
      </c>
      <c r="M41" s="22" t="s">
        <v>1417</v>
      </c>
      <c r="N41" s="154">
        <v>1081.8</v>
      </c>
      <c r="O41" s="23" t="s">
        <v>143</v>
      </c>
      <c r="P41" s="16">
        <v>1131.8</v>
      </c>
      <c r="Q41" s="16" t="s">
        <v>46</v>
      </c>
      <c r="R41" s="193">
        <v>1133.7</v>
      </c>
      <c r="S41" s="189" t="s">
        <v>1473</v>
      </c>
    </row>
    <row r="42" spans="1:19" s="76" customFormat="1" ht="15" x14ac:dyDescent="0.2">
      <c r="A42" s="10" t="s">
        <v>1343</v>
      </c>
      <c r="B42" s="154">
        <v>0</v>
      </c>
      <c r="C42" s="157" t="s">
        <v>880</v>
      </c>
      <c r="D42" s="158">
        <v>12</v>
      </c>
      <c r="E42" s="162" t="s">
        <v>404</v>
      </c>
      <c r="F42" s="160">
        <v>157.19999999999999</v>
      </c>
      <c r="G42" s="23" t="s">
        <v>407</v>
      </c>
      <c r="H42" s="161">
        <v>368.8</v>
      </c>
      <c r="I42" s="16" t="s">
        <v>408</v>
      </c>
      <c r="J42" s="136">
        <v>719.5</v>
      </c>
      <c r="K42" s="23" t="s">
        <v>1373</v>
      </c>
      <c r="L42" s="21">
        <v>1007</v>
      </c>
      <c r="M42" s="22" t="s">
        <v>1418</v>
      </c>
      <c r="N42" s="154">
        <v>1130.5</v>
      </c>
      <c r="O42" s="23" t="s">
        <v>144</v>
      </c>
      <c r="P42" s="16">
        <v>1189</v>
      </c>
      <c r="Q42" s="16" t="s">
        <v>47</v>
      </c>
      <c r="R42" s="193">
        <v>1190.7</v>
      </c>
      <c r="S42" s="189" t="s">
        <v>1474</v>
      </c>
    </row>
    <row r="43" spans="1:19" s="76" customFormat="1" ht="15" x14ac:dyDescent="0.2">
      <c r="A43" s="10"/>
      <c r="B43" s="154"/>
      <c r="C43" s="157"/>
      <c r="D43" s="158"/>
      <c r="E43" s="162"/>
      <c r="F43" s="160"/>
      <c r="G43" s="23"/>
      <c r="H43" s="161"/>
      <c r="I43" s="16"/>
      <c r="J43" s="136"/>
      <c r="K43" s="23"/>
      <c r="L43" s="21"/>
      <c r="M43" s="22"/>
      <c r="N43" s="154"/>
      <c r="O43" s="23"/>
      <c r="P43" s="16"/>
      <c r="Q43" s="16"/>
      <c r="R43" s="193"/>
      <c r="S43" s="189"/>
    </row>
    <row r="44" spans="1:19" s="76" customFormat="1" ht="15" x14ac:dyDescent="0.2">
      <c r="A44" s="10" t="s">
        <v>1344</v>
      </c>
      <c r="B44" s="154">
        <v>0</v>
      </c>
      <c r="C44" s="157" t="s">
        <v>880</v>
      </c>
      <c r="D44" s="158">
        <v>2.5</v>
      </c>
      <c r="E44" s="162" t="s">
        <v>959</v>
      </c>
      <c r="F44" s="160">
        <v>86.8</v>
      </c>
      <c r="G44" s="23" t="s">
        <v>409</v>
      </c>
      <c r="H44" s="161">
        <v>254.7</v>
      </c>
      <c r="I44" s="16" t="s">
        <v>410</v>
      </c>
      <c r="J44" s="136">
        <v>554.70000000000005</v>
      </c>
      <c r="K44" s="23" t="s">
        <v>1374</v>
      </c>
      <c r="L44" s="21">
        <v>807.2</v>
      </c>
      <c r="M44" s="22" t="s">
        <v>1419</v>
      </c>
      <c r="N44" s="154">
        <v>906</v>
      </c>
      <c r="O44" s="23" t="s">
        <v>145</v>
      </c>
      <c r="P44" s="16">
        <v>938.2</v>
      </c>
      <c r="Q44" s="16" t="s">
        <v>54</v>
      </c>
      <c r="R44" s="193">
        <v>938.3</v>
      </c>
      <c r="S44" s="189" t="s">
        <v>1475</v>
      </c>
    </row>
    <row r="45" spans="1:19" s="76" customFormat="1" ht="15" x14ac:dyDescent="0.2">
      <c r="A45" s="10" t="s">
        <v>1345</v>
      </c>
      <c r="B45" s="154">
        <v>0</v>
      </c>
      <c r="C45" s="157" t="s">
        <v>880</v>
      </c>
      <c r="D45" s="158">
        <v>2.5</v>
      </c>
      <c r="E45" s="162" t="s">
        <v>959</v>
      </c>
      <c r="F45" s="160">
        <v>91.8</v>
      </c>
      <c r="G45" s="23" t="s">
        <v>411</v>
      </c>
      <c r="H45" s="161">
        <v>252.6</v>
      </c>
      <c r="I45" s="16" t="s">
        <v>412</v>
      </c>
      <c r="J45" s="136">
        <v>534.20000000000005</v>
      </c>
      <c r="K45" s="23" t="s">
        <v>1375</v>
      </c>
      <c r="L45" s="21">
        <v>765.8</v>
      </c>
      <c r="M45" s="22" t="s">
        <v>1420</v>
      </c>
      <c r="N45" s="154">
        <v>844.5</v>
      </c>
      <c r="O45" s="23" t="s">
        <v>146</v>
      </c>
      <c r="P45" s="16">
        <v>865.9</v>
      </c>
      <c r="Q45" s="16" t="s">
        <v>58</v>
      </c>
      <c r="R45" s="193">
        <v>865.4</v>
      </c>
      <c r="S45" s="189" t="s">
        <v>1476</v>
      </c>
    </row>
    <row r="46" spans="1:19" s="76" customFormat="1" ht="15" x14ac:dyDescent="0.2">
      <c r="A46" s="10" t="s">
        <v>1346</v>
      </c>
      <c r="B46" s="154">
        <v>0</v>
      </c>
      <c r="C46" s="157" t="s">
        <v>880</v>
      </c>
      <c r="D46" s="158">
        <v>5.0999999999999996</v>
      </c>
      <c r="E46" s="162" t="s">
        <v>413</v>
      </c>
      <c r="F46" s="160">
        <v>97.5</v>
      </c>
      <c r="G46" s="23" t="s">
        <v>414</v>
      </c>
      <c r="H46" s="161">
        <v>257</v>
      </c>
      <c r="I46" s="16" t="s">
        <v>415</v>
      </c>
      <c r="J46" s="136">
        <v>557.79999999999995</v>
      </c>
      <c r="K46" s="23" t="s">
        <v>1376</v>
      </c>
      <c r="L46" s="21">
        <v>800.3</v>
      </c>
      <c r="M46" s="22" t="s">
        <v>1421</v>
      </c>
      <c r="N46" s="154">
        <v>894.6</v>
      </c>
      <c r="O46" s="23" t="s">
        <v>147</v>
      </c>
      <c r="P46" s="16">
        <v>928.2</v>
      </c>
      <c r="Q46" s="16" t="s">
        <v>59</v>
      </c>
      <c r="R46" s="193">
        <v>929.5</v>
      </c>
      <c r="S46" s="189" t="s">
        <v>1477</v>
      </c>
    </row>
    <row r="47" spans="1:19" s="76" customFormat="1" ht="15" x14ac:dyDescent="0.2">
      <c r="A47" s="10"/>
      <c r="B47" s="154"/>
      <c r="C47" s="157"/>
      <c r="D47" s="158"/>
      <c r="E47" s="162"/>
      <c r="F47" s="160"/>
      <c r="G47" s="23"/>
      <c r="H47" s="161"/>
      <c r="I47" s="16"/>
      <c r="J47" s="136"/>
      <c r="K47" s="23"/>
      <c r="L47" s="21"/>
      <c r="M47" s="22"/>
      <c r="N47" s="154"/>
      <c r="O47" s="23"/>
      <c r="P47" s="16"/>
      <c r="Q47" s="16"/>
      <c r="R47" s="193"/>
      <c r="S47" s="189"/>
    </row>
    <row r="48" spans="1:19" s="76" customFormat="1" ht="15" x14ac:dyDescent="0.2">
      <c r="A48" s="10" t="s">
        <v>1347</v>
      </c>
      <c r="B48" s="154">
        <v>0</v>
      </c>
      <c r="C48" s="157" t="s">
        <v>880</v>
      </c>
      <c r="D48" s="158">
        <v>7.3</v>
      </c>
      <c r="E48" s="162" t="s">
        <v>416</v>
      </c>
      <c r="F48" s="160">
        <v>110.6</v>
      </c>
      <c r="G48" s="23" t="s">
        <v>417</v>
      </c>
      <c r="H48" s="161">
        <v>282.8</v>
      </c>
      <c r="I48" s="16" t="s">
        <v>418</v>
      </c>
      <c r="J48" s="136">
        <v>594.79999999999995</v>
      </c>
      <c r="K48" s="23" t="s">
        <v>1377</v>
      </c>
      <c r="L48" s="21">
        <v>844.7</v>
      </c>
      <c r="M48" s="22" t="s">
        <v>1422</v>
      </c>
      <c r="N48" s="154">
        <v>939.4</v>
      </c>
      <c r="O48" s="23" t="s">
        <v>148</v>
      </c>
      <c r="P48" s="16">
        <v>973.8</v>
      </c>
      <c r="Q48" s="16" t="s">
        <v>60</v>
      </c>
      <c r="R48" s="193">
        <v>975.6</v>
      </c>
      <c r="S48" s="189" t="s">
        <v>1478</v>
      </c>
    </row>
    <row r="49" spans="1:19" s="76" customFormat="1" ht="15" x14ac:dyDescent="0.2">
      <c r="A49" s="10" t="s">
        <v>1348</v>
      </c>
      <c r="B49" s="154">
        <v>0</v>
      </c>
      <c r="C49" s="157" t="s">
        <v>880</v>
      </c>
      <c r="D49" s="158">
        <v>13.7</v>
      </c>
      <c r="E49" s="162" t="s">
        <v>419</v>
      </c>
      <c r="F49" s="160">
        <v>152.80000000000001</v>
      </c>
      <c r="G49" s="23" t="s">
        <v>420</v>
      </c>
      <c r="H49" s="161">
        <v>362.7</v>
      </c>
      <c r="I49" s="16" t="s">
        <v>421</v>
      </c>
      <c r="J49" s="136">
        <v>698.7</v>
      </c>
      <c r="K49" s="23" t="s">
        <v>1378</v>
      </c>
      <c r="L49" s="21">
        <v>970.6</v>
      </c>
      <c r="M49" s="22" t="s">
        <v>1423</v>
      </c>
      <c r="N49" s="154">
        <v>1094</v>
      </c>
      <c r="O49" s="23" t="s">
        <v>149</v>
      </c>
      <c r="P49" s="16">
        <v>1150.3</v>
      </c>
      <c r="Q49" s="16" t="s">
        <v>61</v>
      </c>
      <c r="R49" s="193">
        <v>1153</v>
      </c>
      <c r="S49" s="189" t="s">
        <v>1479</v>
      </c>
    </row>
    <row r="50" spans="1:19" s="76" customFormat="1" ht="15" x14ac:dyDescent="0.2">
      <c r="A50" s="10" t="s">
        <v>1349</v>
      </c>
      <c r="B50" s="154">
        <v>0</v>
      </c>
      <c r="C50" s="157" t="s">
        <v>880</v>
      </c>
      <c r="D50" s="158">
        <v>4.9000000000000004</v>
      </c>
      <c r="E50" s="162" t="s">
        <v>422</v>
      </c>
      <c r="F50" s="160">
        <v>85.5</v>
      </c>
      <c r="G50" s="23" t="s">
        <v>423</v>
      </c>
      <c r="H50" s="161">
        <v>225.5</v>
      </c>
      <c r="I50" s="16" t="s">
        <v>424</v>
      </c>
      <c r="J50" s="136">
        <v>490.5</v>
      </c>
      <c r="K50" s="23" t="s">
        <v>1379</v>
      </c>
      <c r="L50" s="21">
        <v>704.4</v>
      </c>
      <c r="M50" s="22" t="s">
        <v>1424</v>
      </c>
      <c r="N50" s="154">
        <v>775.2</v>
      </c>
      <c r="O50" s="23" t="s">
        <v>150</v>
      </c>
      <c r="P50" s="16">
        <v>797.5</v>
      </c>
      <c r="Q50" s="16" t="s">
        <v>62</v>
      </c>
      <c r="R50" s="193">
        <v>798.3</v>
      </c>
      <c r="S50" s="189" t="s">
        <v>1480</v>
      </c>
    </row>
    <row r="51" spans="1:19" s="76" customFormat="1" ht="15" x14ac:dyDescent="0.2">
      <c r="A51" s="10" t="s">
        <v>1350</v>
      </c>
      <c r="B51" s="154">
        <v>0</v>
      </c>
      <c r="C51" s="157" t="s">
        <v>880</v>
      </c>
      <c r="D51" s="158">
        <v>4</v>
      </c>
      <c r="E51" s="162" t="s">
        <v>425</v>
      </c>
      <c r="F51" s="160">
        <v>105.8</v>
      </c>
      <c r="G51" s="23" t="s">
        <v>426</v>
      </c>
      <c r="H51" s="161">
        <v>289.3</v>
      </c>
      <c r="I51" s="16" t="s">
        <v>427</v>
      </c>
      <c r="J51" s="136">
        <v>601.6</v>
      </c>
      <c r="K51" s="23" t="s">
        <v>1380</v>
      </c>
      <c r="L51" s="21">
        <v>852.9</v>
      </c>
      <c r="M51" s="22" t="s">
        <v>1425</v>
      </c>
      <c r="N51" s="154">
        <v>950.7</v>
      </c>
      <c r="O51" s="23" t="s">
        <v>151</v>
      </c>
      <c r="P51" s="16">
        <v>989.9</v>
      </c>
      <c r="Q51" s="16" t="s">
        <v>63</v>
      </c>
      <c r="R51" s="193">
        <v>991.3</v>
      </c>
      <c r="S51" s="189" t="s">
        <v>1481</v>
      </c>
    </row>
    <row r="52" spans="1:19" s="76" customFormat="1" ht="15" x14ac:dyDescent="0.2">
      <c r="A52" s="10" t="s">
        <v>1351</v>
      </c>
      <c r="B52" s="154">
        <v>0</v>
      </c>
      <c r="C52" s="157" t="s">
        <v>880</v>
      </c>
      <c r="D52" s="158">
        <v>5.6</v>
      </c>
      <c r="E52" s="162" t="s">
        <v>428</v>
      </c>
      <c r="F52" s="160">
        <v>107.2</v>
      </c>
      <c r="G52" s="23" t="s">
        <v>429</v>
      </c>
      <c r="H52" s="161">
        <v>251.6</v>
      </c>
      <c r="I52" s="16" t="s">
        <v>430</v>
      </c>
      <c r="J52" s="136">
        <v>530.4</v>
      </c>
      <c r="K52" s="23" t="s">
        <v>1381</v>
      </c>
      <c r="L52" s="21">
        <v>750.6</v>
      </c>
      <c r="M52" s="22" t="s">
        <v>1426</v>
      </c>
      <c r="N52" s="154">
        <v>829.4</v>
      </c>
      <c r="O52" s="23" t="s">
        <v>152</v>
      </c>
      <c r="P52" s="16">
        <v>865.9</v>
      </c>
      <c r="Q52" s="16" t="s">
        <v>64</v>
      </c>
      <c r="R52" s="193">
        <v>865.9</v>
      </c>
      <c r="S52" s="189" t="s">
        <v>64</v>
      </c>
    </row>
    <row r="53" spans="1:19" s="76" customFormat="1" ht="15" x14ac:dyDescent="0.2">
      <c r="A53" s="10" t="s">
        <v>1352</v>
      </c>
      <c r="B53" s="154">
        <v>0</v>
      </c>
      <c r="C53" s="157" t="s">
        <v>880</v>
      </c>
      <c r="D53" s="158">
        <v>10.199999999999999</v>
      </c>
      <c r="E53" s="162" t="s">
        <v>431</v>
      </c>
      <c r="F53" s="160">
        <v>132.30000000000001</v>
      </c>
      <c r="G53" s="23" t="s">
        <v>432</v>
      </c>
      <c r="H53" s="161">
        <v>319.10000000000002</v>
      </c>
      <c r="I53" s="16" t="s">
        <v>433</v>
      </c>
      <c r="J53" s="136">
        <v>636.6</v>
      </c>
      <c r="K53" s="23" t="s">
        <v>1382</v>
      </c>
      <c r="L53" s="21">
        <v>895.9</v>
      </c>
      <c r="M53" s="22" t="s">
        <v>1427</v>
      </c>
      <c r="N53" s="154">
        <v>1000.8</v>
      </c>
      <c r="O53" s="23" t="s">
        <v>153</v>
      </c>
      <c r="P53" s="16">
        <v>1044.5</v>
      </c>
      <c r="Q53" s="16" t="s">
        <v>65</v>
      </c>
      <c r="R53" s="193">
        <v>1046.7</v>
      </c>
      <c r="S53" s="189" t="s">
        <v>1482</v>
      </c>
    </row>
    <row r="54" spans="1:19" s="76" customFormat="1" ht="15" x14ac:dyDescent="0.2">
      <c r="A54" s="10" t="s">
        <v>1353</v>
      </c>
      <c r="B54" s="154">
        <v>0</v>
      </c>
      <c r="C54" s="157" t="s">
        <v>880</v>
      </c>
      <c r="D54" s="158">
        <v>10.199999999999999</v>
      </c>
      <c r="E54" s="162" t="s">
        <v>431</v>
      </c>
      <c r="F54" s="160">
        <v>133.4</v>
      </c>
      <c r="G54" s="23" t="s">
        <v>434</v>
      </c>
      <c r="H54" s="161">
        <v>310.8</v>
      </c>
      <c r="I54" s="16" t="s">
        <v>435</v>
      </c>
      <c r="J54" s="136">
        <v>635.9</v>
      </c>
      <c r="K54" s="23" t="s">
        <v>1383</v>
      </c>
      <c r="L54" s="21">
        <v>902.1</v>
      </c>
      <c r="M54" s="22" t="s">
        <v>1428</v>
      </c>
      <c r="N54" s="154">
        <v>1008.4</v>
      </c>
      <c r="O54" s="23" t="s">
        <v>154</v>
      </c>
      <c r="P54" s="16">
        <v>1045</v>
      </c>
      <c r="Q54" s="16" t="s">
        <v>66</v>
      </c>
      <c r="R54" s="193">
        <v>1047</v>
      </c>
      <c r="S54" s="189" t="s">
        <v>1483</v>
      </c>
    </row>
    <row r="55" spans="1:19" s="76" customFormat="1" ht="15" x14ac:dyDescent="0.2">
      <c r="A55" s="10" t="s">
        <v>1354</v>
      </c>
      <c r="B55" s="154">
        <v>0</v>
      </c>
      <c r="C55" s="157" t="s">
        <v>880</v>
      </c>
      <c r="D55" s="158">
        <v>10.199999999999999</v>
      </c>
      <c r="E55" s="162" t="s">
        <v>431</v>
      </c>
      <c r="F55" s="160">
        <v>128.80000000000001</v>
      </c>
      <c r="G55" s="23" t="s">
        <v>436</v>
      </c>
      <c r="H55" s="161">
        <v>308.7</v>
      </c>
      <c r="I55" s="16" t="s">
        <v>437</v>
      </c>
      <c r="J55" s="136">
        <v>634.4</v>
      </c>
      <c r="K55" s="23" t="s">
        <v>1384</v>
      </c>
      <c r="L55" s="21">
        <v>903.4</v>
      </c>
      <c r="M55" s="22" t="s">
        <v>1429</v>
      </c>
      <c r="N55" s="154">
        <v>1010.1</v>
      </c>
      <c r="O55" s="23" t="s">
        <v>155</v>
      </c>
      <c r="P55" s="16">
        <v>1051.7</v>
      </c>
      <c r="Q55" s="16" t="s">
        <v>67</v>
      </c>
      <c r="R55" s="193">
        <v>1053.3</v>
      </c>
      <c r="S55" s="189" t="s">
        <v>1484</v>
      </c>
    </row>
    <row r="56" spans="1:19" s="76" customFormat="1" ht="15" x14ac:dyDescent="0.2">
      <c r="A56" s="10"/>
      <c r="B56" s="154"/>
      <c r="C56" s="157"/>
      <c r="D56" s="158"/>
      <c r="E56" s="162"/>
      <c r="F56" s="160"/>
      <c r="G56" s="23"/>
      <c r="H56" s="161"/>
      <c r="I56" s="16"/>
      <c r="J56" s="136"/>
      <c r="K56" s="23"/>
      <c r="L56" s="21"/>
      <c r="M56" s="22"/>
      <c r="N56" s="154"/>
      <c r="O56" s="23"/>
      <c r="P56" s="16"/>
      <c r="Q56" s="16"/>
      <c r="R56" s="193"/>
      <c r="S56" s="189"/>
    </row>
    <row r="57" spans="1:19" s="76" customFormat="1" ht="15" x14ac:dyDescent="0.2">
      <c r="A57" s="10"/>
      <c r="B57" s="154"/>
      <c r="C57" s="157"/>
      <c r="D57" s="158"/>
      <c r="E57" s="162"/>
      <c r="F57" s="160"/>
      <c r="G57" s="23"/>
      <c r="H57" s="161"/>
      <c r="I57" s="16"/>
      <c r="J57" s="136"/>
      <c r="K57" s="23"/>
      <c r="L57" s="21"/>
      <c r="M57" s="22"/>
      <c r="N57" s="154"/>
      <c r="O57" s="23"/>
      <c r="P57" s="16"/>
      <c r="Q57" s="16"/>
      <c r="R57" s="193"/>
      <c r="S57" s="189"/>
    </row>
    <row r="58" spans="1:19" s="76" customFormat="1" ht="15.75" thickBot="1" x14ac:dyDescent="0.25">
      <c r="A58" s="10" t="s">
        <v>1355</v>
      </c>
      <c r="B58" s="154">
        <v>0</v>
      </c>
      <c r="C58" s="157" t="s">
        <v>880</v>
      </c>
      <c r="D58" s="158">
        <v>9.1999999999999993</v>
      </c>
      <c r="E58" s="162" t="s">
        <v>924</v>
      </c>
      <c r="F58" s="160">
        <v>127.5</v>
      </c>
      <c r="G58" s="23" t="s">
        <v>438</v>
      </c>
      <c r="H58" s="161">
        <v>326.10000000000002</v>
      </c>
      <c r="I58" s="16" t="s">
        <v>439</v>
      </c>
      <c r="J58" s="136">
        <v>681</v>
      </c>
      <c r="K58" s="23" t="s">
        <v>1385</v>
      </c>
      <c r="L58" s="21">
        <v>977.2</v>
      </c>
      <c r="M58" s="22" t="s">
        <v>1430</v>
      </c>
      <c r="N58" s="154">
        <v>1123.3</v>
      </c>
      <c r="O58" s="23" t="s">
        <v>156</v>
      </c>
      <c r="P58" s="16">
        <v>1189.5</v>
      </c>
      <c r="Q58" s="16" t="s">
        <v>68</v>
      </c>
      <c r="R58" s="193">
        <v>1191.2</v>
      </c>
      <c r="S58" s="189" t="s">
        <v>1485</v>
      </c>
    </row>
    <row r="59" spans="1:19" s="174" customFormat="1" ht="17.25" thickBot="1" x14ac:dyDescent="0.3">
      <c r="A59" s="167" t="s">
        <v>440</v>
      </c>
      <c r="B59" s="178">
        <f>AVERAGE(B41:B58)</f>
        <v>0</v>
      </c>
      <c r="C59" s="179"/>
      <c r="D59" s="128">
        <f>AVERAGE(D41:D58)</f>
        <v>7.8142857142857149</v>
      </c>
      <c r="E59" s="129"/>
      <c r="F59" s="126">
        <f>AVERAGE(F41:F58)</f>
        <v>118.72857142857143</v>
      </c>
      <c r="G59" s="127"/>
      <c r="H59" s="175">
        <f>AVERAGE(H41:H58)</f>
        <v>296.38571428571424</v>
      </c>
      <c r="I59" s="129"/>
      <c r="J59" s="169">
        <f>AVERAGE(J41:J58)</f>
        <v>610.57857142857131</v>
      </c>
      <c r="K59" s="170"/>
      <c r="L59" s="169">
        <f>AVERAGE(L41:L58)</f>
        <v>866.86428571428576</v>
      </c>
      <c r="M59" s="172"/>
      <c r="N59" s="169">
        <f>AVERAGE(N41:N58)</f>
        <v>970.62142857142851</v>
      </c>
      <c r="O59" s="173"/>
      <c r="P59" s="188">
        <f>AVERAGE(P41:P58)</f>
        <v>1011.5142857142857</v>
      </c>
      <c r="Q59" s="192"/>
      <c r="R59" s="169">
        <f>AVERAGE(R41:R58)</f>
        <v>1012.85</v>
      </c>
      <c r="S59" s="173"/>
    </row>
    <row r="60" spans="1:19" s="76" customFormat="1" ht="16.5" x14ac:dyDescent="0.2">
      <c r="A60" s="51" t="s">
        <v>1143</v>
      </c>
      <c r="B60" s="136"/>
      <c r="C60" s="137"/>
      <c r="D60" s="138"/>
      <c r="E60" s="138"/>
      <c r="F60" s="136"/>
      <c r="G60" s="137"/>
      <c r="H60" s="138"/>
      <c r="I60" s="138"/>
      <c r="J60" s="136"/>
      <c r="K60" s="137"/>
      <c r="L60" s="136"/>
      <c r="M60" s="138"/>
      <c r="N60" s="155"/>
      <c r="O60" s="137"/>
      <c r="P60" s="138"/>
      <c r="Q60" s="138"/>
      <c r="R60" s="77"/>
      <c r="S60" s="78"/>
    </row>
    <row r="61" spans="1:19" s="76" customFormat="1" ht="15" x14ac:dyDescent="0.2">
      <c r="A61" s="55" t="s">
        <v>1144</v>
      </c>
      <c r="B61" s="80">
        <v>0</v>
      </c>
      <c r="C61" s="23" t="s">
        <v>880</v>
      </c>
      <c r="D61" s="79">
        <v>26.9</v>
      </c>
      <c r="E61" s="22" t="s">
        <v>76</v>
      </c>
      <c r="F61" s="21">
        <v>184</v>
      </c>
      <c r="G61" s="23" t="s">
        <v>77</v>
      </c>
      <c r="H61" s="57">
        <v>404.1</v>
      </c>
      <c r="I61" s="22" t="s">
        <v>78</v>
      </c>
      <c r="J61" s="136">
        <v>764.6</v>
      </c>
      <c r="K61" s="23" t="s">
        <v>1386</v>
      </c>
      <c r="L61" s="21">
        <v>1053.2</v>
      </c>
      <c r="M61" s="22" t="s">
        <v>1431</v>
      </c>
      <c r="N61" s="154">
        <v>1195</v>
      </c>
      <c r="O61" s="23" t="s">
        <v>157</v>
      </c>
      <c r="P61" s="16">
        <v>1260.4000000000001</v>
      </c>
      <c r="Q61" s="16" t="s">
        <v>69</v>
      </c>
      <c r="R61" s="193">
        <v>1266.8</v>
      </c>
      <c r="S61" s="189" t="s">
        <v>1486</v>
      </c>
    </row>
    <row r="62" spans="1:19" s="76" customFormat="1" ht="15" x14ac:dyDescent="0.2">
      <c r="A62" s="55" t="s">
        <v>1145</v>
      </c>
      <c r="B62" s="80">
        <v>0</v>
      </c>
      <c r="C62" s="23" t="s">
        <v>880</v>
      </c>
      <c r="D62" s="79">
        <v>17.5</v>
      </c>
      <c r="E62" s="22" t="s">
        <v>80</v>
      </c>
      <c r="F62" s="21">
        <v>134.5</v>
      </c>
      <c r="G62" s="23" t="s">
        <v>81</v>
      </c>
      <c r="H62" s="57">
        <v>314.5</v>
      </c>
      <c r="I62" s="22" t="s">
        <v>82</v>
      </c>
      <c r="J62" s="136">
        <v>621.70000000000005</v>
      </c>
      <c r="K62" s="23" t="s">
        <v>1387</v>
      </c>
      <c r="L62" s="21">
        <v>849.5</v>
      </c>
      <c r="M62" s="22" t="s">
        <v>1432</v>
      </c>
      <c r="N62" s="154">
        <v>952.4</v>
      </c>
      <c r="O62" s="23" t="s">
        <v>158</v>
      </c>
      <c r="P62" s="16">
        <v>989.5</v>
      </c>
      <c r="Q62" s="16" t="s">
        <v>70</v>
      </c>
      <c r="R62" s="193">
        <v>995.4</v>
      </c>
      <c r="S62" s="189" t="s">
        <v>1487</v>
      </c>
    </row>
    <row r="63" spans="1:19" s="76" customFormat="1" ht="15" x14ac:dyDescent="0.2">
      <c r="A63" s="55" t="s">
        <v>1146</v>
      </c>
      <c r="B63" s="80">
        <v>0</v>
      </c>
      <c r="C63" s="23" t="s">
        <v>880</v>
      </c>
      <c r="D63" s="79">
        <v>28.9</v>
      </c>
      <c r="E63" s="22" t="s">
        <v>84</v>
      </c>
      <c r="F63" s="21">
        <v>200.4</v>
      </c>
      <c r="G63" s="23" t="s">
        <v>85</v>
      </c>
      <c r="H63" s="57">
        <v>423.5</v>
      </c>
      <c r="I63" s="22" t="s">
        <v>86</v>
      </c>
      <c r="J63" s="136">
        <v>778.6</v>
      </c>
      <c r="K63" s="23" t="s">
        <v>1388</v>
      </c>
      <c r="L63" s="21">
        <v>1057</v>
      </c>
      <c r="M63" s="22" t="s">
        <v>1433</v>
      </c>
      <c r="N63" s="154">
        <v>1198.8</v>
      </c>
      <c r="O63" s="23" t="s">
        <v>159</v>
      </c>
      <c r="P63" s="16">
        <v>1262.4000000000001</v>
      </c>
      <c r="Q63" s="16" t="s">
        <v>71</v>
      </c>
      <c r="R63" s="193">
        <v>1268.5999999999999</v>
      </c>
      <c r="S63" s="189" t="s">
        <v>1488</v>
      </c>
    </row>
    <row r="64" spans="1:19" s="76" customFormat="1" ht="15" x14ac:dyDescent="0.2">
      <c r="A64" s="55" t="s">
        <v>1147</v>
      </c>
      <c r="B64" s="80">
        <v>0</v>
      </c>
      <c r="C64" s="23" t="s">
        <v>880</v>
      </c>
      <c r="D64" s="79">
        <v>26.8</v>
      </c>
      <c r="E64" s="22" t="s">
        <v>88</v>
      </c>
      <c r="F64" s="21">
        <v>215</v>
      </c>
      <c r="G64" s="23" t="s">
        <v>89</v>
      </c>
      <c r="H64" s="57">
        <v>461.8</v>
      </c>
      <c r="I64" s="22" t="s">
        <v>90</v>
      </c>
      <c r="J64" s="136">
        <v>832.6</v>
      </c>
      <c r="K64" s="23" t="s">
        <v>1389</v>
      </c>
      <c r="L64" s="21">
        <v>1133.0999999999999</v>
      </c>
      <c r="M64" s="22" t="s">
        <v>1434</v>
      </c>
      <c r="N64" s="154">
        <v>1297.2</v>
      </c>
      <c r="O64" s="23" t="s">
        <v>160</v>
      </c>
      <c r="P64" s="16">
        <v>1371.7</v>
      </c>
      <c r="Q64" s="16" t="s">
        <v>72</v>
      </c>
      <c r="R64" s="193">
        <v>1377.1</v>
      </c>
      <c r="S64" s="189" t="s">
        <v>1489</v>
      </c>
    </row>
    <row r="65" spans="1:20" s="76" customFormat="1" ht="15" x14ac:dyDescent="0.2">
      <c r="A65" s="55" t="s">
        <v>1148</v>
      </c>
      <c r="B65" s="80">
        <v>0</v>
      </c>
      <c r="C65" s="23" t="s">
        <v>880</v>
      </c>
      <c r="D65" s="79">
        <v>23.8</v>
      </c>
      <c r="E65" s="22" t="s">
        <v>92</v>
      </c>
      <c r="F65" s="21">
        <v>199.1</v>
      </c>
      <c r="G65" s="23" t="s">
        <v>93</v>
      </c>
      <c r="H65" s="57">
        <v>440.7</v>
      </c>
      <c r="I65" s="22" t="s">
        <v>94</v>
      </c>
      <c r="J65" s="136">
        <v>806.5</v>
      </c>
      <c r="K65" s="23" t="s">
        <v>1390</v>
      </c>
      <c r="L65" s="21">
        <v>1098.8</v>
      </c>
      <c r="M65" s="22" t="s">
        <v>1435</v>
      </c>
      <c r="N65" s="154">
        <v>1250.4000000000001</v>
      </c>
      <c r="O65" s="23" t="s">
        <v>161</v>
      </c>
      <c r="P65" s="16">
        <v>1315.3</v>
      </c>
      <c r="Q65" s="16" t="s">
        <v>73</v>
      </c>
      <c r="R65" s="193">
        <v>1320.1</v>
      </c>
      <c r="S65" s="189" t="s">
        <v>1490</v>
      </c>
    </row>
    <row r="66" spans="1:20" s="76" customFormat="1" ht="15.75" thickBot="1" x14ac:dyDescent="0.25">
      <c r="A66" s="55" t="s">
        <v>1149</v>
      </c>
      <c r="B66" s="80">
        <v>0</v>
      </c>
      <c r="C66" s="23" t="s">
        <v>880</v>
      </c>
      <c r="D66" s="79">
        <v>23</v>
      </c>
      <c r="E66" s="22" t="s">
        <v>95</v>
      </c>
      <c r="F66" s="21">
        <v>189.6</v>
      </c>
      <c r="G66" s="23" t="s">
        <v>96</v>
      </c>
      <c r="H66" s="57">
        <v>427.8</v>
      </c>
      <c r="I66" s="22" t="s">
        <v>97</v>
      </c>
      <c r="J66" s="136">
        <v>808.4</v>
      </c>
      <c r="K66" s="23" t="s">
        <v>1391</v>
      </c>
      <c r="L66" s="21">
        <v>1122</v>
      </c>
      <c r="M66" s="22" t="s">
        <v>1436</v>
      </c>
      <c r="N66" s="154">
        <v>1276.0999999999999</v>
      </c>
      <c r="O66" s="23" t="s">
        <v>162</v>
      </c>
      <c r="P66" s="16">
        <v>1344.7</v>
      </c>
      <c r="Q66" s="16" t="s">
        <v>74</v>
      </c>
      <c r="R66" s="193">
        <v>1348.9</v>
      </c>
      <c r="S66" s="189" t="s">
        <v>1491</v>
      </c>
    </row>
    <row r="67" spans="1:20" s="174" customFormat="1" ht="17.25" thickBot="1" x14ac:dyDescent="0.3">
      <c r="A67" s="167" t="s">
        <v>440</v>
      </c>
      <c r="B67" s="126">
        <f>AVERAGE(B61:B66)</f>
        <v>0</v>
      </c>
      <c r="C67" s="127"/>
      <c r="D67" s="128">
        <f>AVERAGE(D61:D66)</f>
        <v>24.483333333333331</v>
      </c>
      <c r="E67" s="129"/>
      <c r="F67" s="130">
        <f>AVERAGE(F61:F66)</f>
        <v>187.1</v>
      </c>
      <c r="G67" s="127"/>
      <c r="H67" s="175">
        <f>AVERAGE(H61:H66)</f>
        <v>412.06666666666666</v>
      </c>
      <c r="I67" s="129"/>
      <c r="J67" s="169">
        <f>AVERAGE(J61:J66)</f>
        <v>768.73333333333323</v>
      </c>
      <c r="K67" s="170"/>
      <c r="L67" s="169">
        <f>AVERAGE(L61:L66)</f>
        <v>1052.2666666666667</v>
      </c>
      <c r="M67" s="176"/>
      <c r="N67" s="169">
        <f>AVERAGE(N61:N66)</f>
        <v>1194.9833333333333</v>
      </c>
      <c r="O67" s="173"/>
      <c r="P67" s="188">
        <f>AVERAGE(P61:P66)</f>
        <v>1257.3333333333333</v>
      </c>
      <c r="Q67" s="192"/>
      <c r="R67" s="169">
        <f>AVERAGE(R61:R66)</f>
        <v>1262.8166666666666</v>
      </c>
      <c r="S67" s="173"/>
    </row>
    <row r="68" spans="1:20" s="76" customFormat="1" ht="16.5" x14ac:dyDescent="0.2">
      <c r="A68" s="51" t="s">
        <v>1150</v>
      </c>
      <c r="B68" s="136"/>
      <c r="C68" s="137"/>
      <c r="D68" s="138"/>
      <c r="E68" s="138"/>
      <c r="F68" s="136"/>
      <c r="G68" s="137"/>
      <c r="H68" s="138"/>
      <c r="I68" s="138"/>
      <c r="J68" s="136"/>
      <c r="K68" s="137"/>
      <c r="L68" s="136"/>
      <c r="M68" s="138"/>
      <c r="N68" s="155"/>
      <c r="O68" s="137"/>
      <c r="P68" s="138"/>
      <c r="Q68" s="138"/>
      <c r="R68" s="77"/>
      <c r="S68" s="78"/>
    </row>
    <row r="69" spans="1:20" s="76" customFormat="1" ht="15" x14ac:dyDescent="0.2">
      <c r="A69" s="55" t="s">
        <v>1151</v>
      </c>
      <c r="B69" s="80">
        <v>0</v>
      </c>
      <c r="C69" s="23" t="s">
        <v>880</v>
      </c>
      <c r="D69" s="79">
        <v>20.2</v>
      </c>
      <c r="E69" s="22" t="s">
        <v>101</v>
      </c>
      <c r="F69" s="21">
        <v>186.5</v>
      </c>
      <c r="G69" s="23" t="s">
        <v>102</v>
      </c>
      <c r="H69" s="22">
        <v>416.8</v>
      </c>
      <c r="I69" s="22" t="s">
        <v>103</v>
      </c>
      <c r="J69" s="136">
        <v>767.4</v>
      </c>
      <c r="K69" s="23" t="s">
        <v>1392</v>
      </c>
      <c r="L69" s="21">
        <v>1054</v>
      </c>
      <c r="M69" s="22" t="s">
        <v>1437</v>
      </c>
      <c r="N69" s="154">
        <v>1185.3</v>
      </c>
      <c r="O69" s="23" t="s">
        <v>163</v>
      </c>
      <c r="P69" s="16">
        <v>1252.7</v>
      </c>
      <c r="Q69" s="16" t="s">
        <v>75</v>
      </c>
      <c r="R69" s="193">
        <v>1256.5999999999999</v>
      </c>
      <c r="S69" s="189" t="s">
        <v>1492</v>
      </c>
    </row>
    <row r="70" spans="1:20" s="76" customFormat="1" ht="15" x14ac:dyDescent="0.2">
      <c r="A70" s="55" t="s">
        <v>1152</v>
      </c>
      <c r="B70" s="80">
        <v>0</v>
      </c>
      <c r="C70" s="23" t="s">
        <v>880</v>
      </c>
      <c r="D70" s="79">
        <v>22.4</v>
      </c>
      <c r="E70" s="22" t="s">
        <v>104</v>
      </c>
      <c r="F70" s="21">
        <v>183.6</v>
      </c>
      <c r="G70" s="23" t="s">
        <v>105</v>
      </c>
      <c r="H70" s="57">
        <v>404.3</v>
      </c>
      <c r="I70" s="22" t="s">
        <v>106</v>
      </c>
      <c r="J70" s="136">
        <v>754.9</v>
      </c>
      <c r="K70" s="23" t="s">
        <v>1393</v>
      </c>
      <c r="L70" s="21">
        <v>1042.8</v>
      </c>
      <c r="M70" s="22" t="s">
        <v>1438</v>
      </c>
      <c r="N70" s="154">
        <v>1185.0999999999999</v>
      </c>
      <c r="O70" s="23" t="s">
        <v>164</v>
      </c>
      <c r="P70" s="16">
        <v>1246.8</v>
      </c>
      <c r="Q70" s="16" t="s">
        <v>79</v>
      </c>
      <c r="R70" s="193">
        <v>1252.0999999999999</v>
      </c>
      <c r="S70" s="189" t="s">
        <v>1493</v>
      </c>
    </row>
    <row r="71" spans="1:20" s="76" customFormat="1" ht="15" x14ac:dyDescent="0.2">
      <c r="A71" s="55" t="s">
        <v>1153</v>
      </c>
      <c r="B71" s="80">
        <v>0</v>
      </c>
      <c r="C71" s="23" t="s">
        <v>880</v>
      </c>
      <c r="D71" s="79">
        <v>22.9</v>
      </c>
      <c r="E71" s="22" t="s">
        <v>108</v>
      </c>
      <c r="F71" s="21">
        <v>192.5</v>
      </c>
      <c r="G71" s="23" t="s">
        <v>109</v>
      </c>
      <c r="H71" s="57">
        <v>430.4</v>
      </c>
      <c r="I71" s="22" t="s">
        <v>110</v>
      </c>
      <c r="J71" s="136">
        <v>789.9</v>
      </c>
      <c r="K71" s="23" t="s">
        <v>1394</v>
      </c>
      <c r="L71" s="21">
        <v>1076.2</v>
      </c>
      <c r="M71" s="22" t="s">
        <v>1439</v>
      </c>
      <c r="N71" s="154">
        <v>1225.8</v>
      </c>
      <c r="O71" s="23" t="s">
        <v>165</v>
      </c>
      <c r="P71" s="16">
        <v>1294.7</v>
      </c>
      <c r="Q71" s="16" t="s">
        <v>83</v>
      </c>
      <c r="R71" s="193">
        <v>1299.9000000000001</v>
      </c>
      <c r="S71" s="189" t="s">
        <v>1494</v>
      </c>
    </row>
    <row r="72" spans="1:20" s="76" customFormat="1" ht="15" x14ac:dyDescent="0.2">
      <c r="A72" s="55" t="s">
        <v>1154</v>
      </c>
      <c r="B72" s="80">
        <v>0</v>
      </c>
      <c r="C72" s="23" t="s">
        <v>880</v>
      </c>
      <c r="D72" s="79">
        <v>17.600000000000001</v>
      </c>
      <c r="E72" s="22" t="s">
        <v>111</v>
      </c>
      <c r="F72" s="21">
        <v>189.2</v>
      </c>
      <c r="G72" s="23" t="s">
        <v>112</v>
      </c>
      <c r="H72" s="57">
        <v>427.2</v>
      </c>
      <c r="I72" s="22" t="s">
        <v>113</v>
      </c>
      <c r="J72" s="136">
        <v>790.2</v>
      </c>
      <c r="K72" s="23" t="s">
        <v>1395</v>
      </c>
      <c r="L72" s="21">
        <v>1080.8</v>
      </c>
      <c r="M72" s="22" t="s">
        <v>1440</v>
      </c>
      <c r="N72" s="154">
        <v>1236.0999999999999</v>
      </c>
      <c r="O72" s="23" t="s">
        <v>166</v>
      </c>
      <c r="P72" s="16">
        <v>1302.8</v>
      </c>
      <c r="Q72" s="16" t="s">
        <v>87</v>
      </c>
      <c r="R72" s="193">
        <v>1308.9000000000001</v>
      </c>
      <c r="S72" s="189" t="s">
        <v>1495</v>
      </c>
      <c r="T72" s="76" t="s">
        <v>1338</v>
      </c>
    </row>
    <row r="73" spans="1:20" s="76" customFormat="1" ht="15.75" thickBot="1" x14ac:dyDescent="0.25">
      <c r="A73" s="55" t="s">
        <v>1155</v>
      </c>
      <c r="B73" s="80">
        <v>0</v>
      </c>
      <c r="C73" s="23" t="s">
        <v>880</v>
      </c>
      <c r="D73" s="79">
        <v>20.6</v>
      </c>
      <c r="E73" s="22" t="s">
        <v>114</v>
      </c>
      <c r="F73" s="21">
        <v>173.9</v>
      </c>
      <c r="G73" s="23" t="s">
        <v>115</v>
      </c>
      <c r="H73" s="57">
        <v>399.6</v>
      </c>
      <c r="I73" s="22" t="s">
        <v>116</v>
      </c>
      <c r="J73" s="136">
        <v>749.6</v>
      </c>
      <c r="K73" s="23" t="s">
        <v>1396</v>
      </c>
      <c r="L73" s="21">
        <v>1037.5999999999999</v>
      </c>
      <c r="M73" s="22" t="s">
        <v>1441</v>
      </c>
      <c r="N73" s="154">
        <v>1173.9000000000001</v>
      </c>
      <c r="O73" s="23" t="s">
        <v>167</v>
      </c>
      <c r="P73" s="16">
        <v>1234.4000000000001</v>
      </c>
      <c r="Q73" s="16" t="s">
        <v>91</v>
      </c>
      <c r="R73" s="193">
        <v>1239.9000000000001</v>
      </c>
      <c r="S73" s="189" t="s">
        <v>1496</v>
      </c>
    </row>
    <row r="74" spans="1:20" s="174" customFormat="1" ht="17.25" thickBot="1" x14ac:dyDescent="0.3">
      <c r="A74" s="167" t="s">
        <v>440</v>
      </c>
      <c r="B74" s="126">
        <f>AVERAGE(B69:B73)</f>
        <v>0</v>
      </c>
      <c r="C74" s="127"/>
      <c r="D74" s="128">
        <f>AVERAGE(D69:D73)</f>
        <v>20.74</v>
      </c>
      <c r="E74" s="129"/>
      <c r="F74" s="130">
        <f>AVERAGE(F69:F73)</f>
        <v>185.14</v>
      </c>
      <c r="G74" s="127"/>
      <c r="H74" s="175">
        <f>AVERAGE(H69:H73)</f>
        <v>415.66</v>
      </c>
      <c r="I74" s="129"/>
      <c r="J74" s="169">
        <f>AVERAGE(J69:J73)</f>
        <v>770.39999999999986</v>
      </c>
      <c r="K74" s="170"/>
      <c r="L74" s="169">
        <f>AVERAGE(L69:L73)</f>
        <v>1058.28</v>
      </c>
      <c r="M74" s="176"/>
      <c r="N74" s="169">
        <f>AVERAGE(N69:N73)</f>
        <v>1201.2399999999998</v>
      </c>
      <c r="O74" s="173"/>
      <c r="P74" s="188">
        <f>AVERAGE(P69:P73)</f>
        <v>1266.28</v>
      </c>
      <c r="Q74" s="192"/>
      <c r="R74" s="169">
        <f>AVERAGE(R69:R73)</f>
        <v>1271.48</v>
      </c>
      <c r="S74" s="173"/>
    </row>
    <row r="75" spans="1:20" s="76" customFormat="1" ht="16.5" x14ac:dyDescent="0.2">
      <c r="A75" s="51" t="s">
        <v>1156</v>
      </c>
      <c r="B75" s="136"/>
      <c r="C75" s="137"/>
      <c r="D75" s="138"/>
      <c r="E75" s="138"/>
      <c r="F75" s="136"/>
      <c r="G75" s="137"/>
      <c r="H75" s="138"/>
      <c r="I75" s="138"/>
      <c r="J75" s="136"/>
      <c r="K75" s="137"/>
      <c r="L75" s="136"/>
      <c r="M75" s="138"/>
      <c r="N75" s="155"/>
      <c r="O75" s="137"/>
      <c r="P75" s="138"/>
      <c r="Q75" s="138"/>
      <c r="R75" s="77"/>
      <c r="S75" s="78"/>
    </row>
    <row r="76" spans="1:20" s="76" customFormat="1" ht="15" x14ac:dyDescent="0.2">
      <c r="A76" s="55" t="s">
        <v>1157</v>
      </c>
      <c r="B76" s="80">
        <v>0</v>
      </c>
      <c r="C76" s="23" t="s">
        <v>880</v>
      </c>
      <c r="D76" s="79">
        <v>10.9</v>
      </c>
      <c r="E76" s="22" t="s">
        <v>117</v>
      </c>
      <c r="F76" s="21">
        <v>116.3</v>
      </c>
      <c r="G76" s="23" t="s">
        <v>118</v>
      </c>
      <c r="H76" s="57">
        <v>294.39999999999998</v>
      </c>
      <c r="I76" s="22" t="s">
        <v>119</v>
      </c>
      <c r="J76" s="136">
        <v>598.70000000000005</v>
      </c>
      <c r="K76" s="23" t="s">
        <v>1397</v>
      </c>
      <c r="L76" s="21">
        <v>852.3</v>
      </c>
      <c r="M76" s="22" t="s">
        <v>1442</v>
      </c>
      <c r="N76" s="154">
        <v>948.9</v>
      </c>
      <c r="O76" s="23" t="s">
        <v>168</v>
      </c>
      <c r="P76" s="16">
        <v>993.9</v>
      </c>
      <c r="Q76" s="16" t="s">
        <v>98</v>
      </c>
      <c r="R76" s="193">
        <v>995.4</v>
      </c>
      <c r="S76" s="189" t="s">
        <v>1497</v>
      </c>
    </row>
    <row r="77" spans="1:20" s="76" customFormat="1" ht="15" x14ac:dyDescent="0.2">
      <c r="A77" s="55" t="s">
        <v>1158</v>
      </c>
      <c r="B77" s="80">
        <v>0</v>
      </c>
      <c r="C77" s="23" t="s">
        <v>880</v>
      </c>
      <c r="D77" s="79">
        <v>17</v>
      </c>
      <c r="E77" s="22" t="s">
        <v>35</v>
      </c>
      <c r="F77" s="21">
        <v>160.80000000000001</v>
      </c>
      <c r="G77" s="23" t="s">
        <v>120</v>
      </c>
      <c r="H77" s="57">
        <v>393.9</v>
      </c>
      <c r="I77" s="22" t="s">
        <v>121</v>
      </c>
      <c r="J77" s="136">
        <v>743.4</v>
      </c>
      <c r="K77" s="23" t="s">
        <v>1398</v>
      </c>
      <c r="L77" s="21">
        <v>1023.9</v>
      </c>
      <c r="M77" s="22" t="s">
        <v>1443</v>
      </c>
      <c r="N77" s="154">
        <v>1148</v>
      </c>
      <c r="O77" s="23" t="s">
        <v>169</v>
      </c>
      <c r="P77" s="16">
        <v>1213.3</v>
      </c>
      <c r="Q77" s="16" t="s">
        <v>99</v>
      </c>
      <c r="R77" s="193">
        <v>1216</v>
      </c>
      <c r="S77" s="189" t="s">
        <v>1498</v>
      </c>
    </row>
    <row r="78" spans="1:20" s="76" customFormat="1" ht="15.75" thickBot="1" x14ac:dyDescent="0.25">
      <c r="A78" s="55" t="s">
        <v>1159</v>
      </c>
      <c r="B78" s="80">
        <v>0</v>
      </c>
      <c r="C78" s="23" t="s">
        <v>880</v>
      </c>
      <c r="D78" s="79">
        <v>14.4</v>
      </c>
      <c r="E78" s="22" t="s">
        <v>122</v>
      </c>
      <c r="F78" s="21">
        <v>138.30000000000001</v>
      </c>
      <c r="G78" s="23" t="s">
        <v>123</v>
      </c>
      <c r="H78" s="57">
        <v>341.6</v>
      </c>
      <c r="I78" s="22" t="s">
        <v>124</v>
      </c>
      <c r="J78" s="136">
        <v>662</v>
      </c>
      <c r="K78" s="23" t="s">
        <v>1399</v>
      </c>
      <c r="L78" s="21">
        <v>931.4</v>
      </c>
      <c r="M78" s="22" t="s">
        <v>1444</v>
      </c>
      <c r="N78" s="154">
        <v>1041.3</v>
      </c>
      <c r="O78" s="23" t="s">
        <v>170</v>
      </c>
      <c r="P78" s="16">
        <v>1101.4000000000001</v>
      </c>
      <c r="Q78" s="16" t="s">
        <v>100</v>
      </c>
      <c r="R78" s="193">
        <v>1103.2</v>
      </c>
      <c r="S78" s="189" t="s">
        <v>1499</v>
      </c>
    </row>
    <row r="79" spans="1:20" s="174" customFormat="1" ht="17.25" thickBot="1" x14ac:dyDescent="0.3">
      <c r="A79" s="167" t="s">
        <v>440</v>
      </c>
      <c r="B79" s="126">
        <f>AVERAGE(B76:B78)</f>
        <v>0</v>
      </c>
      <c r="C79" s="127"/>
      <c r="D79" s="128">
        <f>AVERAGE(D76:D78)</f>
        <v>14.1</v>
      </c>
      <c r="E79" s="129"/>
      <c r="F79" s="130">
        <f>AVERAGE(F76:F78)</f>
        <v>138.46666666666667</v>
      </c>
      <c r="G79" s="131"/>
      <c r="H79" s="168">
        <f>AVERAGE(H76:H78)</f>
        <v>343.3</v>
      </c>
      <c r="I79" s="129"/>
      <c r="J79" s="169">
        <f>AVERAGE(J76:J78)</f>
        <v>668.0333333333333</v>
      </c>
      <c r="K79" s="170"/>
      <c r="L79" s="169">
        <f>AVERAGE(L76:L78)</f>
        <v>935.86666666666667</v>
      </c>
      <c r="M79" s="176"/>
      <c r="N79" s="169">
        <f>AVERAGE(N76:N78)</f>
        <v>1046.0666666666666</v>
      </c>
      <c r="O79" s="173"/>
      <c r="P79" s="188">
        <f>AVERAGE(P76:P78)</f>
        <v>1102.8666666666666</v>
      </c>
      <c r="Q79" s="192"/>
      <c r="R79" s="169">
        <f>AVERAGE(R76:R78)</f>
        <v>1104.8666666666668</v>
      </c>
      <c r="S79" s="173"/>
    </row>
    <row r="80" spans="1:20" s="76" customFormat="1" ht="17.25" thickBot="1" x14ac:dyDescent="0.25">
      <c r="A80" s="53" t="s">
        <v>1160</v>
      </c>
      <c r="B80" s="136"/>
      <c r="C80" s="137"/>
      <c r="D80" s="138"/>
      <c r="E80" s="138"/>
      <c r="F80" s="136"/>
      <c r="G80" s="137"/>
      <c r="H80" s="138"/>
      <c r="I80" s="138"/>
      <c r="J80" s="136"/>
      <c r="K80" s="118"/>
      <c r="L80" s="136"/>
      <c r="M80" s="138"/>
      <c r="N80" s="155"/>
      <c r="O80" s="137"/>
      <c r="P80" s="138"/>
      <c r="Q80" s="138"/>
      <c r="R80" s="77"/>
      <c r="S80" s="78"/>
    </row>
    <row r="81" spans="1:19" s="76" customFormat="1" ht="15.75" thickBot="1" x14ac:dyDescent="0.25">
      <c r="A81" s="55" t="s">
        <v>1161</v>
      </c>
      <c r="B81" s="80">
        <v>0</v>
      </c>
      <c r="C81" s="23" t="s">
        <v>880</v>
      </c>
      <c r="D81" s="79">
        <v>9.3000000000000007</v>
      </c>
      <c r="E81" s="22" t="s">
        <v>579</v>
      </c>
      <c r="F81" s="21">
        <v>91.4</v>
      </c>
      <c r="G81" s="23" t="s">
        <v>125</v>
      </c>
      <c r="H81" s="57">
        <v>227.2</v>
      </c>
      <c r="I81" s="16" t="s">
        <v>126</v>
      </c>
      <c r="J81" s="136">
        <v>485.8</v>
      </c>
      <c r="K81" s="23" t="s">
        <v>1400</v>
      </c>
      <c r="L81" s="163">
        <v>712.3</v>
      </c>
      <c r="M81" s="164" t="s">
        <v>1445</v>
      </c>
      <c r="N81" s="154">
        <v>801.4</v>
      </c>
      <c r="O81" s="23" t="s">
        <v>171</v>
      </c>
      <c r="P81" s="16">
        <v>841.1</v>
      </c>
      <c r="Q81" s="16" t="s">
        <v>107</v>
      </c>
      <c r="R81" s="193">
        <v>839.5</v>
      </c>
      <c r="S81" s="189" t="s">
        <v>1500</v>
      </c>
    </row>
    <row r="82" spans="1:19" s="174" customFormat="1" ht="15.75" thickBot="1" x14ac:dyDescent="0.3">
      <c r="A82" s="167" t="s">
        <v>440</v>
      </c>
      <c r="B82" s="121">
        <f>AVERAGE(B81)</f>
        <v>0</v>
      </c>
      <c r="C82" s="122"/>
      <c r="D82" s="123">
        <f>AVERAGE(D81)</f>
        <v>9.3000000000000007</v>
      </c>
      <c r="E82" s="124"/>
      <c r="F82" s="125">
        <f>AVERAGE(F81)</f>
        <v>91.4</v>
      </c>
      <c r="G82" s="173"/>
      <c r="H82" s="168">
        <v>227.2</v>
      </c>
      <c r="I82" s="172"/>
      <c r="J82" s="169">
        <f>AVERAGE(J81)</f>
        <v>485.8</v>
      </c>
      <c r="K82" s="173"/>
      <c r="L82" s="180">
        <f>AVERAGE(L81)</f>
        <v>712.3</v>
      </c>
      <c r="M82" s="181"/>
      <c r="N82" s="169">
        <f>AVERAGE(N81)</f>
        <v>801.4</v>
      </c>
      <c r="O82" s="173"/>
      <c r="P82" s="187">
        <f>AVERAGE(P81)</f>
        <v>841.1</v>
      </c>
      <c r="Q82" s="192"/>
      <c r="R82" s="171">
        <f>AVERAGE(R81)</f>
        <v>839.5</v>
      </c>
      <c r="S82" s="173"/>
    </row>
    <row r="83" spans="1:19" s="76" customFormat="1" x14ac:dyDescent="0.2">
      <c r="B83" s="165"/>
      <c r="C83" s="138"/>
      <c r="D83" s="165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</row>
    <row r="84" spans="1:19" s="76" customFormat="1" x14ac:dyDescent="0.2">
      <c r="B84" s="165"/>
      <c r="C84" s="138"/>
      <c r="D84" s="165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</row>
    <row r="85" spans="1:19" s="76" customFormat="1" x14ac:dyDescent="0.2">
      <c r="B85" s="165"/>
      <c r="C85" s="138"/>
      <c r="D85" s="165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</row>
    <row r="86" spans="1:19" s="76" customFormat="1" x14ac:dyDescent="0.2">
      <c r="B86" s="165"/>
      <c r="C86" s="138"/>
      <c r="D86" s="165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</row>
  </sheetData>
  <phoneticPr fontId="11" type="noConversion"/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52" zoomScale="85" zoomScaleNormal="85" workbookViewId="0">
      <selection activeCell="P45" sqref="P45"/>
    </sheetView>
  </sheetViews>
  <sheetFormatPr baseColWidth="10" defaultRowHeight="12.75" x14ac:dyDescent="0.2"/>
  <cols>
    <col min="1" max="1" width="24.85546875" customWidth="1"/>
    <col min="2" max="2" width="12.7109375" style="166" customWidth="1"/>
    <col min="3" max="3" width="12.5703125" style="1" customWidth="1"/>
    <col min="4" max="4" width="11.42578125" style="166" customWidth="1"/>
    <col min="5" max="7" width="11.42578125" style="1" customWidth="1"/>
    <col min="8" max="8" width="11.5703125" style="1" customWidth="1"/>
    <col min="9" max="10" width="11.42578125" style="1" customWidth="1"/>
    <col min="11" max="11" width="15.140625" style="1" customWidth="1"/>
    <col min="12" max="12" width="11.42578125" style="1" customWidth="1"/>
    <col min="13" max="13" width="14.140625" style="1" bestFit="1" customWidth="1"/>
    <col min="14" max="14" width="11.42578125" style="1" customWidth="1"/>
    <col min="15" max="15" width="14" style="1" customWidth="1"/>
    <col min="16" max="16" width="13" style="1" customWidth="1"/>
    <col min="17" max="17" width="12.85546875" style="1" customWidth="1"/>
    <col min="18" max="20" width="11.42578125" customWidth="1"/>
  </cols>
  <sheetData>
    <row r="1" spans="1:19" ht="23.25" x14ac:dyDescent="0.35">
      <c r="A1" s="2"/>
      <c r="B1" s="144"/>
      <c r="C1" s="11"/>
      <c r="D1" s="144"/>
      <c r="E1" s="11"/>
      <c r="F1" s="11"/>
      <c r="G1" s="11"/>
    </row>
    <row r="2" spans="1:19" x14ac:dyDescent="0.2">
      <c r="A2" s="4"/>
      <c r="B2" s="144"/>
      <c r="C2" s="11"/>
      <c r="D2" s="144"/>
      <c r="E2" s="11"/>
      <c r="F2" s="11"/>
      <c r="G2" s="11"/>
    </row>
    <row r="3" spans="1:19" ht="18" x14ac:dyDescent="0.3">
      <c r="A3" s="5"/>
      <c r="B3" s="145"/>
      <c r="C3" s="12"/>
      <c r="D3" s="145"/>
      <c r="E3" s="12"/>
      <c r="F3" s="12"/>
      <c r="G3" s="12"/>
      <c r="S3" s="139"/>
    </row>
    <row r="4" spans="1:19" x14ac:dyDescent="0.2">
      <c r="A4" s="6"/>
      <c r="B4" s="145"/>
      <c r="C4" s="12"/>
      <c r="D4" s="145"/>
      <c r="E4" s="12"/>
      <c r="F4" s="12"/>
      <c r="G4" s="12"/>
    </row>
    <row r="5" spans="1:19" ht="15" x14ac:dyDescent="0.2">
      <c r="A5" s="7"/>
      <c r="B5" s="146"/>
      <c r="C5" s="13"/>
      <c r="D5" s="146"/>
      <c r="E5" s="13"/>
      <c r="F5" s="13"/>
      <c r="G5" s="13"/>
    </row>
    <row r="6" spans="1:19" ht="15" customHeight="1" x14ac:dyDescent="0.3">
      <c r="A6" s="8"/>
      <c r="B6" s="147"/>
      <c r="C6" s="14"/>
      <c r="D6" s="147"/>
      <c r="E6" s="14"/>
      <c r="F6" s="14"/>
      <c r="G6" s="14"/>
    </row>
    <row r="7" spans="1:19" ht="15" customHeight="1" thickBot="1" x14ac:dyDescent="0.35">
      <c r="A7" s="8"/>
      <c r="B7" s="147"/>
      <c r="C7" s="14"/>
      <c r="D7" s="147"/>
      <c r="E7" s="14"/>
      <c r="F7" s="14"/>
      <c r="G7" s="14"/>
    </row>
    <row r="8" spans="1:19" ht="16.5" x14ac:dyDescent="0.2">
      <c r="A8" s="51" t="s">
        <v>1118</v>
      </c>
      <c r="B8" s="148" t="s">
        <v>1119</v>
      </c>
      <c r="C8" s="29" t="s">
        <v>1119</v>
      </c>
      <c r="D8" s="149" t="s">
        <v>1119</v>
      </c>
      <c r="E8" s="25" t="s">
        <v>1119</v>
      </c>
      <c r="F8" s="28" t="s">
        <v>1119</v>
      </c>
      <c r="G8" s="29" t="s">
        <v>1119</v>
      </c>
      <c r="H8" s="25" t="s">
        <v>1119</v>
      </c>
      <c r="I8" s="25" t="s">
        <v>1119</v>
      </c>
      <c r="J8" s="28" t="s">
        <v>1119</v>
      </c>
      <c r="K8" s="29" t="s">
        <v>1119</v>
      </c>
      <c r="L8" s="28" t="s">
        <v>1119</v>
      </c>
      <c r="M8" s="25" t="s">
        <v>1119</v>
      </c>
      <c r="N8" s="28" t="s">
        <v>1119</v>
      </c>
      <c r="O8" s="29" t="s">
        <v>1119</v>
      </c>
      <c r="P8" s="25" t="s">
        <v>1119</v>
      </c>
      <c r="Q8" s="29" t="s">
        <v>1119</v>
      </c>
      <c r="R8" s="51" t="s">
        <v>1119</v>
      </c>
      <c r="S8" s="52" t="s">
        <v>1119</v>
      </c>
    </row>
    <row r="9" spans="1:19" s="76" customFormat="1" ht="15" customHeight="1" thickBot="1" x14ac:dyDescent="0.25">
      <c r="A9" s="53"/>
      <c r="B9" s="150" t="s">
        <v>1339</v>
      </c>
      <c r="C9" s="141" t="s">
        <v>1339</v>
      </c>
      <c r="D9" s="151" t="s">
        <v>1340</v>
      </c>
      <c r="E9" s="142" t="s">
        <v>1340</v>
      </c>
      <c r="F9" s="140" t="s">
        <v>536</v>
      </c>
      <c r="G9" s="141" t="s">
        <v>536</v>
      </c>
      <c r="H9" s="142" t="s">
        <v>537</v>
      </c>
      <c r="I9" s="142" t="s">
        <v>537</v>
      </c>
      <c r="J9" s="140" t="s">
        <v>538</v>
      </c>
      <c r="K9" s="141" t="s">
        <v>538</v>
      </c>
      <c r="L9" s="67" t="s">
        <v>539</v>
      </c>
      <c r="M9" s="74" t="s">
        <v>539</v>
      </c>
      <c r="N9" s="67" t="s">
        <v>1294</v>
      </c>
      <c r="O9" s="143" t="s">
        <v>1294</v>
      </c>
      <c r="P9" s="74" t="s">
        <v>540</v>
      </c>
      <c r="Q9" s="143" t="s">
        <v>540</v>
      </c>
      <c r="R9" s="194" t="s">
        <v>1337</v>
      </c>
      <c r="S9" s="195" t="s">
        <v>1337</v>
      </c>
    </row>
    <row r="10" spans="1:19" s="76" customFormat="1" ht="16.5" customHeight="1" x14ac:dyDescent="0.2">
      <c r="A10" s="51" t="s">
        <v>1120</v>
      </c>
      <c r="B10" s="148"/>
      <c r="C10" s="29"/>
      <c r="D10" s="149"/>
      <c r="E10" s="25"/>
      <c r="F10" s="28"/>
      <c r="G10" s="29"/>
      <c r="H10" s="152" t="s">
        <v>1338</v>
      </c>
      <c r="I10" s="152"/>
      <c r="J10" s="153"/>
      <c r="K10" s="101"/>
      <c r="L10" s="136"/>
      <c r="M10" s="138"/>
      <c r="N10" s="136"/>
      <c r="O10" s="137"/>
      <c r="P10" s="138"/>
      <c r="Q10" s="138"/>
      <c r="R10" s="77"/>
      <c r="S10" s="78"/>
    </row>
    <row r="11" spans="1:19" s="76" customFormat="1" ht="15.75" thickBot="1" x14ac:dyDescent="0.25">
      <c r="A11" s="55" t="s">
        <v>1121</v>
      </c>
      <c r="B11" s="80">
        <v>0</v>
      </c>
      <c r="C11" s="189" t="s">
        <v>880</v>
      </c>
      <c r="D11" s="204">
        <v>0</v>
      </c>
      <c r="E11" s="7" t="s">
        <v>880</v>
      </c>
      <c r="F11" s="206">
        <v>32.799999999999997</v>
      </c>
      <c r="G11" s="207" t="s">
        <v>1520</v>
      </c>
      <c r="H11" s="210">
        <v>223.5</v>
      </c>
      <c r="I11" s="211" t="s">
        <v>1563</v>
      </c>
      <c r="J11" s="213">
        <v>525.6</v>
      </c>
      <c r="K11" s="214" t="s">
        <v>1609</v>
      </c>
      <c r="L11" s="218">
        <v>773.4</v>
      </c>
      <c r="M11" s="218" t="s">
        <v>1654</v>
      </c>
      <c r="N11" s="270">
        <v>885.2</v>
      </c>
      <c r="O11" s="216" t="s">
        <v>1700</v>
      </c>
      <c r="P11" s="16"/>
      <c r="Q11" s="16"/>
      <c r="R11" s="77"/>
      <c r="S11" s="78"/>
    </row>
    <row r="12" spans="1:19" s="174" customFormat="1" ht="17.25" thickBot="1" x14ac:dyDescent="0.3">
      <c r="A12" s="167" t="s">
        <v>440</v>
      </c>
      <c r="B12" s="126">
        <f>AVERAGE(B11)</f>
        <v>0</v>
      </c>
      <c r="C12" s="127"/>
      <c r="D12" s="128">
        <f>AVERAGE(D11)</f>
        <v>0</v>
      </c>
      <c r="E12" s="129"/>
      <c r="F12" s="130">
        <f>AVERAGE(F11)</f>
        <v>32.799999999999997</v>
      </c>
      <c r="G12" s="127"/>
      <c r="H12" s="168">
        <f>AVERAGE(H10:H11)</f>
        <v>223.5</v>
      </c>
      <c r="I12" s="129"/>
      <c r="J12" s="169">
        <f>AVERAGE(J11)</f>
        <v>525.6</v>
      </c>
      <c r="K12" s="170"/>
      <c r="L12" s="171">
        <f>AVERAGE(L11)</f>
        <v>773.4</v>
      </c>
      <c r="M12" s="172"/>
      <c r="N12" s="169">
        <f>AVERAGE(N11)</f>
        <v>885.2</v>
      </c>
      <c r="O12" s="173"/>
      <c r="P12" s="268" t="e">
        <f>AVERAGE(P11)</f>
        <v>#DIV/0!</v>
      </c>
      <c r="Q12" s="186"/>
      <c r="R12" s="171" t="e">
        <f>AVERAGE(R10:R11)</f>
        <v>#DIV/0!</v>
      </c>
      <c r="S12" s="173"/>
    </row>
    <row r="13" spans="1:19" s="76" customFormat="1" ht="16.5" x14ac:dyDescent="0.2">
      <c r="A13" s="51" t="s">
        <v>1123</v>
      </c>
      <c r="B13" s="136"/>
      <c r="C13" s="137"/>
      <c r="D13" s="138"/>
      <c r="E13" s="138"/>
      <c r="F13" s="136"/>
      <c r="G13" s="137"/>
      <c r="H13" s="138"/>
      <c r="I13" s="138"/>
      <c r="J13" s="136"/>
      <c r="K13" s="137"/>
      <c r="L13" s="136"/>
      <c r="M13" s="138"/>
      <c r="N13" s="155"/>
      <c r="O13" s="137"/>
      <c r="P13" s="138"/>
      <c r="Q13" s="138"/>
      <c r="R13" s="77"/>
      <c r="S13" s="78"/>
    </row>
    <row r="14" spans="1:19" s="76" customFormat="1" ht="15" x14ac:dyDescent="0.2">
      <c r="A14" s="55" t="s">
        <v>1124</v>
      </c>
      <c r="B14" s="80">
        <v>0</v>
      </c>
      <c r="C14" s="189" t="s">
        <v>880</v>
      </c>
      <c r="D14" s="205">
        <v>0</v>
      </c>
      <c r="E14" s="112" t="s">
        <v>880</v>
      </c>
      <c r="F14" s="206">
        <v>65.3</v>
      </c>
      <c r="G14" s="207" t="s">
        <v>1521</v>
      </c>
      <c r="H14" s="210">
        <v>294.3</v>
      </c>
      <c r="I14" s="211" t="s">
        <v>1564</v>
      </c>
      <c r="J14" s="213">
        <v>614.4</v>
      </c>
      <c r="K14" s="214" t="s">
        <v>1611</v>
      </c>
      <c r="L14" s="218">
        <v>904.9</v>
      </c>
      <c r="M14" s="218" t="s">
        <v>1655</v>
      </c>
      <c r="N14" s="271">
        <v>1043</v>
      </c>
      <c r="O14" s="216" t="s">
        <v>1701</v>
      </c>
      <c r="P14" s="16"/>
      <c r="Q14" s="16"/>
      <c r="R14" s="77"/>
      <c r="S14" s="78"/>
    </row>
    <row r="15" spans="1:19" s="76" customFormat="1" ht="15" x14ac:dyDescent="0.2">
      <c r="A15" s="55" t="s">
        <v>1125</v>
      </c>
      <c r="B15" s="80">
        <v>0</v>
      </c>
      <c r="C15" s="189" t="s">
        <v>880</v>
      </c>
      <c r="D15" s="205">
        <v>0</v>
      </c>
      <c r="E15" s="112" t="s">
        <v>880</v>
      </c>
      <c r="F15" s="206">
        <v>66.8</v>
      </c>
      <c r="G15" s="207" t="s">
        <v>1522</v>
      </c>
      <c r="H15" s="210">
        <v>304.5</v>
      </c>
      <c r="I15" s="211" t="s">
        <v>1565</v>
      </c>
      <c r="J15" s="213">
        <v>621.70000000000005</v>
      </c>
      <c r="K15" s="214" t="s">
        <v>1610</v>
      </c>
      <c r="L15" s="218">
        <v>904.7</v>
      </c>
      <c r="M15" s="218" t="s">
        <v>1656</v>
      </c>
      <c r="N15" s="271">
        <v>1041</v>
      </c>
      <c r="O15" s="216" t="s">
        <v>1702</v>
      </c>
      <c r="P15" s="16"/>
      <c r="Q15" s="16"/>
      <c r="R15" s="77"/>
      <c r="S15" s="78"/>
    </row>
    <row r="16" spans="1:19" s="76" customFormat="1" ht="15.75" thickBot="1" x14ac:dyDescent="0.25">
      <c r="A16" s="55" t="s">
        <v>902</v>
      </c>
      <c r="B16" s="80">
        <v>0</v>
      </c>
      <c r="C16" s="189" t="s">
        <v>880</v>
      </c>
      <c r="D16" s="205">
        <v>0</v>
      </c>
      <c r="E16" s="112" t="s">
        <v>880</v>
      </c>
      <c r="F16" s="21"/>
      <c r="G16" s="23"/>
      <c r="H16" s="210">
        <v>310.3</v>
      </c>
      <c r="I16" s="211" t="s">
        <v>1566</v>
      </c>
      <c r="J16" s="213">
        <v>645.1</v>
      </c>
      <c r="K16" s="214" t="s">
        <v>1612</v>
      </c>
      <c r="L16" s="218">
        <v>932.2</v>
      </c>
      <c r="M16" s="218" t="s">
        <v>1657</v>
      </c>
      <c r="N16" s="271">
        <v>1076</v>
      </c>
      <c r="O16" s="272" t="s">
        <v>1703</v>
      </c>
      <c r="P16" s="16"/>
      <c r="Q16" s="16"/>
      <c r="R16" s="77"/>
      <c r="S16" s="78"/>
    </row>
    <row r="17" spans="1:19" s="174" customFormat="1" ht="17.25" thickBot="1" x14ac:dyDescent="0.3">
      <c r="A17" s="167" t="s">
        <v>440</v>
      </c>
      <c r="B17" s="126">
        <f>AVERAGE(B14:B16)</f>
        <v>0</v>
      </c>
      <c r="C17" s="127"/>
      <c r="D17" s="128">
        <f>AVERAGE(D14:D16)</f>
        <v>0</v>
      </c>
      <c r="E17" s="129"/>
      <c r="F17" s="126">
        <f>AVERAGE(F14:F16)</f>
        <v>66.05</v>
      </c>
      <c r="G17" s="127"/>
      <c r="H17" s="175">
        <f>AVERAGE(H14:H16)</f>
        <v>303.0333333333333</v>
      </c>
      <c r="I17" s="129"/>
      <c r="J17" s="169">
        <f>AVERAGE(J14:J16)</f>
        <v>627.06666666666661</v>
      </c>
      <c r="K17" s="170"/>
      <c r="L17" s="169">
        <f>AVERAGE(L14:L16)</f>
        <v>913.93333333333339</v>
      </c>
      <c r="M17" s="172"/>
      <c r="N17" s="169">
        <f>AVERAGE(N14:N16)</f>
        <v>1053.3333333333333</v>
      </c>
      <c r="O17" s="173"/>
      <c r="P17" s="268" t="e">
        <f>AVERAGE(P14:P16)</f>
        <v>#DIV/0!</v>
      </c>
      <c r="Q17" s="186"/>
      <c r="R17" s="171" t="e">
        <f>AVERAGE(R13:R16)</f>
        <v>#DIV/0!</v>
      </c>
      <c r="S17" s="173"/>
    </row>
    <row r="18" spans="1:19" s="76" customFormat="1" ht="16.5" x14ac:dyDescent="0.2">
      <c r="A18" s="51" t="s">
        <v>1126</v>
      </c>
      <c r="B18" s="136"/>
      <c r="C18" s="137"/>
      <c r="D18" s="138"/>
      <c r="E18" s="138"/>
      <c r="F18" s="136"/>
      <c r="G18" s="137"/>
      <c r="H18" s="138"/>
      <c r="I18" s="138"/>
      <c r="J18" s="136"/>
      <c r="K18" s="137"/>
      <c r="L18" s="136"/>
      <c r="M18" s="138"/>
      <c r="N18" s="155"/>
      <c r="O18" s="137"/>
      <c r="P18" s="138"/>
      <c r="Q18" s="138"/>
      <c r="R18" s="77"/>
      <c r="S18" s="78"/>
    </row>
    <row r="19" spans="1:19" s="76" customFormat="1" ht="15" x14ac:dyDescent="0.2">
      <c r="A19" s="55" t="s">
        <v>1127</v>
      </c>
      <c r="B19" s="80">
        <v>0</v>
      </c>
      <c r="C19" s="189" t="s">
        <v>880</v>
      </c>
      <c r="D19" s="205">
        <v>1</v>
      </c>
      <c r="E19" s="112" t="s">
        <v>1501</v>
      </c>
      <c r="F19" s="206">
        <v>112.5</v>
      </c>
      <c r="G19" s="207" t="s">
        <v>1523</v>
      </c>
      <c r="H19" s="210">
        <v>372.9</v>
      </c>
      <c r="I19" s="211" t="s">
        <v>1567</v>
      </c>
      <c r="J19" s="213">
        <v>688.2</v>
      </c>
      <c r="K19" s="214" t="s">
        <v>1613</v>
      </c>
      <c r="L19" s="218">
        <v>959.8</v>
      </c>
      <c r="M19" s="218" t="s">
        <v>1658</v>
      </c>
      <c r="N19" s="270">
        <v>1108.3</v>
      </c>
      <c r="O19" s="216" t="s">
        <v>1704</v>
      </c>
      <c r="P19" s="16"/>
      <c r="Q19" s="16"/>
      <c r="R19" s="77"/>
      <c r="S19" s="78"/>
    </row>
    <row r="20" spans="1:19" s="76" customFormat="1" ht="15.75" thickBot="1" x14ac:dyDescent="0.25">
      <c r="A20" s="55" t="s">
        <v>1128</v>
      </c>
      <c r="B20" s="80">
        <v>0</v>
      </c>
      <c r="C20" s="189" t="s">
        <v>880</v>
      </c>
      <c r="D20" s="205">
        <v>7.1</v>
      </c>
      <c r="E20" s="112" t="s">
        <v>1502</v>
      </c>
      <c r="F20" s="206">
        <v>118.5</v>
      </c>
      <c r="G20" s="207" t="s">
        <v>1524</v>
      </c>
      <c r="H20" s="210">
        <v>379.4</v>
      </c>
      <c r="I20" s="211" t="s">
        <v>1568</v>
      </c>
      <c r="J20" s="213">
        <v>695.2</v>
      </c>
      <c r="K20" s="214" t="s">
        <v>1616</v>
      </c>
      <c r="L20" s="218">
        <v>982</v>
      </c>
      <c r="M20" s="218" t="s">
        <v>1659</v>
      </c>
      <c r="N20" s="270">
        <v>1149</v>
      </c>
      <c r="O20" s="216" t="s">
        <v>1705</v>
      </c>
      <c r="P20" s="16"/>
      <c r="Q20" s="16"/>
      <c r="R20" s="77"/>
      <c r="S20" s="78"/>
    </row>
    <row r="21" spans="1:19" s="174" customFormat="1" ht="17.25" thickBot="1" x14ac:dyDescent="0.3">
      <c r="A21" s="167" t="s">
        <v>440</v>
      </c>
      <c r="B21" s="126">
        <f>AVERAGE(B19:B20)</f>
        <v>0</v>
      </c>
      <c r="C21" s="127"/>
      <c r="D21" s="128">
        <f>AVERAGE(D19:D20)</f>
        <v>4.05</v>
      </c>
      <c r="E21" s="129"/>
      <c r="F21" s="130">
        <f>AVERAGE(F19:F20)</f>
        <v>115.5</v>
      </c>
      <c r="G21" s="127"/>
      <c r="H21" s="168">
        <f>AVERAGE(H19:H20)</f>
        <v>376.15</v>
      </c>
      <c r="I21" s="129"/>
      <c r="J21" s="169">
        <f>AVERAGE(J19:J20)</f>
        <v>691.7</v>
      </c>
      <c r="K21" s="170"/>
      <c r="L21" s="169">
        <f>AVERAGE(L19:L20)</f>
        <v>970.9</v>
      </c>
      <c r="M21" s="176"/>
      <c r="N21" s="169">
        <f>AVERAGE(N19:N20)</f>
        <v>1128.6500000000001</v>
      </c>
      <c r="O21" s="173"/>
      <c r="P21" s="268" t="e">
        <f>AVERAGE(P19:P20)</f>
        <v>#DIV/0!</v>
      </c>
      <c r="Q21" s="186"/>
      <c r="R21" s="171" t="e">
        <f>AVERAGE(R19:R20)</f>
        <v>#DIV/0!</v>
      </c>
      <c r="S21" s="173"/>
    </row>
    <row r="22" spans="1:19" s="76" customFormat="1" ht="16.5" x14ac:dyDescent="0.2">
      <c r="A22" s="51" t="s">
        <v>1129</v>
      </c>
      <c r="B22" s="136"/>
      <c r="C22" s="137"/>
      <c r="D22" s="138"/>
      <c r="E22" s="138"/>
      <c r="F22" s="136"/>
      <c r="G22" s="137"/>
      <c r="H22" s="138"/>
      <c r="I22" s="138"/>
      <c r="J22" s="136"/>
      <c r="K22" s="137"/>
      <c r="L22" s="136"/>
      <c r="M22" s="138"/>
      <c r="N22" s="155"/>
      <c r="O22" s="137"/>
      <c r="P22" s="138"/>
      <c r="Q22" s="138"/>
      <c r="R22" s="77"/>
      <c r="S22" s="78"/>
    </row>
    <row r="23" spans="1:19" s="76" customFormat="1" ht="15" x14ac:dyDescent="0.2">
      <c r="A23" s="55" t="s">
        <v>1130</v>
      </c>
      <c r="B23" s="80">
        <v>0</v>
      </c>
      <c r="C23" s="189" t="s">
        <v>880</v>
      </c>
      <c r="D23" s="205">
        <v>0.2</v>
      </c>
      <c r="E23" s="112" t="s">
        <v>277</v>
      </c>
      <c r="F23" s="206">
        <v>89.8</v>
      </c>
      <c r="G23" s="207" t="s">
        <v>1525</v>
      </c>
      <c r="H23" s="210">
        <v>316.5</v>
      </c>
      <c r="I23" s="211" t="s">
        <v>1569</v>
      </c>
      <c r="J23" s="213">
        <v>607</v>
      </c>
      <c r="K23" s="214" t="s">
        <v>1614</v>
      </c>
      <c r="L23" s="218">
        <v>855.6</v>
      </c>
      <c r="M23" s="218" t="s">
        <v>1663</v>
      </c>
      <c r="N23" s="270">
        <v>985.2</v>
      </c>
      <c r="O23" s="216" t="s">
        <v>1706</v>
      </c>
      <c r="P23" s="16"/>
      <c r="Q23" s="16"/>
      <c r="R23" s="77"/>
      <c r="S23" s="78"/>
    </row>
    <row r="24" spans="1:19" s="76" customFormat="1" ht="15.75" thickBot="1" x14ac:dyDescent="0.25">
      <c r="A24" s="55" t="s">
        <v>1131</v>
      </c>
      <c r="B24" s="80">
        <v>0</v>
      </c>
      <c r="C24" s="189" t="s">
        <v>880</v>
      </c>
      <c r="D24" s="205">
        <v>2</v>
      </c>
      <c r="E24" s="112" t="s">
        <v>547</v>
      </c>
      <c r="F24" s="206">
        <v>91.8</v>
      </c>
      <c r="G24" s="207" t="s">
        <v>1526</v>
      </c>
      <c r="H24" s="210">
        <v>341.2</v>
      </c>
      <c r="I24" s="211" t="s">
        <v>1570</v>
      </c>
      <c r="J24" s="213">
        <v>650.4</v>
      </c>
      <c r="K24" s="214" t="s">
        <v>1615</v>
      </c>
      <c r="L24" s="218">
        <v>940.6</v>
      </c>
      <c r="M24" s="218" t="s">
        <v>1660</v>
      </c>
      <c r="N24" s="270">
        <v>1053</v>
      </c>
      <c r="O24" s="216" t="s">
        <v>1707</v>
      </c>
      <c r="P24" s="16"/>
      <c r="Q24" s="16"/>
      <c r="R24" s="77"/>
      <c r="S24" s="78"/>
    </row>
    <row r="25" spans="1:19" s="174" customFormat="1" ht="17.25" thickBot="1" x14ac:dyDescent="0.3">
      <c r="A25" s="167" t="s">
        <v>440</v>
      </c>
      <c r="B25" s="126">
        <f>AVERAGE(B23:B24)</f>
        <v>0</v>
      </c>
      <c r="C25" s="127"/>
      <c r="D25" s="128">
        <f>AVERAGE(D23:D24)</f>
        <v>1.1000000000000001</v>
      </c>
      <c r="E25" s="129"/>
      <c r="F25" s="130">
        <f>AVERAGE(F23:F24)</f>
        <v>90.8</v>
      </c>
      <c r="G25" s="127"/>
      <c r="H25" s="175">
        <f>AVERAGE(H23:H24)</f>
        <v>328.85</v>
      </c>
      <c r="I25" s="129"/>
      <c r="J25" s="169">
        <f>AVERAGE(J23:J24)</f>
        <v>628.70000000000005</v>
      </c>
      <c r="K25" s="170"/>
      <c r="L25" s="169">
        <f>AVERAGE(L23:L24)</f>
        <v>898.1</v>
      </c>
      <c r="M25" s="176"/>
      <c r="N25" s="169">
        <f>AVERAGE(N23:N24)</f>
        <v>1019.1</v>
      </c>
      <c r="O25" s="173"/>
      <c r="P25" s="268" t="e">
        <f>AVERAGE(P23:P24)</f>
        <v>#DIV/0!</v>
      </c>
      <c r="Q25" s="186"/>
      <c r="R25" s="171" t="e">
        <f>AVERAGE(R23:R24)</f>
        <v>#DIV/0!</v>
      </c>
      <c r="S25" s="173"/>
    </row>
    <row r="26" spans="1:19" s="76" customFormat="1" ht="16.5" x14ac:dyDescent="0.2">
      <c r="A26" s="51" t="s">
        <v>1132</v>
      </c>
      <c r="B26" s="136"/>
      <c r="C26" s="137"/>
      <c r="D26" s="138"/>
      <c r="E26" s="138"/>
      <c r="F26" s="136"/>
      <c r="G26" s="137"/>
      <c r="H26" s="138"/>
      <c r="I26" s="138"/>
      <c r="J26" s="136"/>
      <c r="K26" s="137"/>
      <c r="L26" s="136"/>
      <c r="M26" s="138"/>
      <c r="N26" s="155"/>
      <c r="O26" s="137"/>
      <c r="P26" s="138"/>
      <c r="Q26" s="138"/>
      <c r="R26" s="77"/>
      <c r="S26" s="78"/>
    </row>
    <row r="27" spans="1:19" s="76" customFormat="1" ht="15" x14ac:dyDescent="0.2">
      <c r="A27" s="55" t="s">
        <v>1133</v>
      </c>
      <c r="B27" s="80">
        <v>0</v>
      </c>
      <c r="C27" s="189" t="s">
        <v>880</v>
      </c>
      <c r="D27" s="205">
        <v>8.6</v>
      </c>
      <c r="E27" s="112" t="s">
        <v>1503</v>
      </c>
      <c r="F27" s="206">
        <v>113.1</v>
      </c>
      <c r="G27" s="207" t="s">
        <v>1527</v>
      </c>
      <c r="H27" s="210">
        <v>346.4</v>
      </c>
      <c r="I27" s="211" t="s">
        <v>1571</v>
      </c>
      <c r="J27" s="213">
        <v>654.4</v>
      </c>
      <c r="K27" s="214" t="s">
        <v>1617</v>
      </c>
      <c r="L27" s="218">
        <v>917.8</v>
      </c>
      <c r="M27" s="218" t="s">
        <v>1661</v>
      </c>
      <c r="N27" s="270">
        <v>1070.4000000000001</v>
      </c>
      <c r="O27" s="216" t="s">
        <v>1708</v>
      </c>
      <c r="P27" s="16"/>
      <c r="Q27" s="16"/>
      <c r="R27" s="77"/>
      <c r="S27" s="78"/>
    </row>
    <row r="28" spans="1:19" s="76" customFormat="1" ht="15" x14ac:dyDescent="0.2">
      <c r="A28" s="55" t="s">
        <v>1134</v>
      </c>
      <c r="B28" s="80">
        <v>0</v>
      </c>
      <c r="C28" s="189" t="s">
        <v>880</v>
      </c>
      <c r="D28" s="205">
        <v>10.5</v>
      </c>
      <c r="E28" s="112" t="s">
        <v>1504</v>
      </c>
      <c r="F28" s="206">
        <v>112.4</v>
      </c>
      <c r="G28" s="207" t="s">
        <v>1528</v>
      </c>
      <c r="H28" s="210">
        <v>351.2</v>
      </c>
      <c r="I28" s="211" t="s">
        <v>1572</v>
      </c>
      <c r="J28" s="213">
        <v>672.3</v>
      </c>
      <c r="K28" s="214" t="s">
        <v>1618</v>
      </c>
      <c r="L28" s="218">
        <v>944.2</v>
      </c>
      <c r="M28" s="218" t="s">
        <v>1662</v>
      </c>
      <c r="N28" s="270">
        <v>1115.5</v>
      </c>
      <c r="O28" s="216" t="s">
        <v>1709</v>
      </c>
      <c r="P28" s="16"/>
      <c r="Q28" s="16"/>
      <c r="R28" s="77"/>
      <c r="S28" s="78"/>
    </row>
    <row r="29" spans="1:19" s="76" customFormat="1" ht="15.75" thickBot="1" x14ac:dyDescent="0.25">
      <c r="A29" s="55" t="s">
        <v>1135</v>
      </c>
      <c r="B29" s="80">
        <v>0</v>
      </c>
      <c r="C29" s="189" t="s">
        <v>880</v>
      </c>
      <c r="D29" s="205">
        <v>8</v>
      </c>
      <c r="E29" s="112" t="s">
        <v>194</v>
      </c>
      <c r="F29" s="206">
        <v>117.9</v>
      </c>
      <c r="G29" s="207" t="s">
        <v>1529</v>
      </c>
      <c r="H29" s="210">
        <v>362.9</v>
      </c>
      <c r="I29" s="211" t="s">
        <v>1573</v>
      </c>
      <c r="J29" s="213">
        <v>658.5</v>
      </c>
      <c r="K29" s="214" t="s">
        <v>1619</v>
      </c>
      <c r="L29" s="218">
        <v>932.6</v>
      </c>
      <c r="M29" s="218" t="s">
        <v>1664</v>
      </c>
      <c r="N29" s="270">
        <v>1099.7</v>
      </c>
      <c r="O29" s="216" t="s">
        <v>1710</v>
      </c>
      <c r="P29" s="16"/>
      <c r="Q29" s="16"/>
      <c r="R29" s="77"/>
      <c r="S29" s="78"/>
    </row>
    <row r="30" spans="1:19" s="174" customFormat="1" ht="17.25" thickBot="1" x14ac:dyDescent="0.3">
      <c r="A30" s="167" t="s">
        <v>440</v>
      </c>
      <c r="B30" s="126">
        <f>AVERAGE(B27:B29)</f>
        <v>0</v>
      </c>
      <c r="C30" s="127"/>
      <c r="D30" s="128">
        <f>AVERAGE(D27:D29)</f>
        <v>9.0333333333333332</v>
      </c>
      <c r="E30" s="129"/>
      <c r="F30" s="126">
        <f>AVERAGE(F27:F29)</f>
        <v>114.46666666666665</v>
      </c>
      <c r="G30" s="127"/>
      <c r="H30" s="175">
        <f>AVERAGE(H27:H29)</f>
        <v>353.5</v>
      </c>
      <c r="I30" s="129"/>
      <c r="J30" s="169">
        <f>AVERAGE(J27:J29)</f>
        <v>661.73333333333323</v>
      </c>
      <c r="K30" s="173"/>
      <c r="L30" s="169">
        <f>AVERAGE(L27:L29)</f>
        <v>931.5333333333333</v>
      </c>
      <c r="M30" s="176"/>
      <c r="N30" s="169">
        <f>AVERAGE(N27:N29)</f>
        <v>1095.2</v>
      </c>
      <c r="O30" s="173"/>
      <c r="P30" s="269" t="e">
        <f>AVERAGE(P27:P29)</f>
        <v>#DIV/0!</v>
      </c>
      <c r="Q30" s="186"/>
      <c r="R30" s="171" t="e">
        <f>AVERAGE(R27:R29)</f>
        <v>#DIV/0!</v>
      </c>
      <c r="S30" s="173"/>
    </row>
    <row r="31" spans="1:19" s="76" customFormat="1" ht="16.5" x14ac:dyDescent="0.2">
      <c r="A31" s="51" t="s">
        <v>1136</v>
      </c>
      <c r="B31" s="136"/>
      <c r="C31" s="137"/>
      <c r="D31" s="138"/>
      <c r="E31" s="138"/>
      <c r="F31" s="136"/>
      <c r="G31" s="137"/>
      <c r="H31" s="138"/>
      <c r="I31" s="138"/>
      <c r="J31" s="136"/>
      <c r="K31" s="137"/>
      <c r="L31" s="136"/>
      <c r="M31" s="138"/>
      <c r="N31" s="155"/>
      <c r="O31" s="137"/>
      <c r="P31" s="138"/>
      <c r="Q31" s="138"/>
      <c r="R31" s="77"/>
      <c r="S31" s="78"/>
    </row>
    <row r="32" spans="1:19" s="76" customFormat="1" ht="15" x14ac:dyDescent="0.2">
      <c r="A32" s="55" t="s">
        <v>1137</v>
      </c>
      <c r="B32" s="80">
        <v>0</v>
      </c>
      <c r="C32" s="189" t="s">
        <v>880</v>
      </c>
      <c r="D32" s="205">
        <v>0</v>
      </c>
      <c r="E32" s="112" t="s">
        <v>880</v>
      </c>
      <c r="F32" s="206">
        <v>90.6</v>
      </c>
      <c r="G32" s="207" t="s">
        <v>1530</v>
      </c>
      <c r="H32" s="210">
        <v>317.10000000000002</v>
      </c>
      <c r="I32" s="211" t="s">
        <v>1574</v>
      </c>
      <c r="J32" s="213">
        <v>593.70000000000005</v>
      </c>
      <c r="K32" s="214" t="s">
        <v>1620</v>
      </c>
      <c r="L32" s="218">
        <v>845.1</v>
      </c>
      <c r="M32" s="218" t="s">
        <v>1665</v>
      </c>
      <c r="N32" s="270">
        <v>970.8</v>
      </c>
      <c r="O32" s="216" t="s">
        <v>1711</v>
      </c>
      <c r="P32" s="16"/>
      <c r="Q32" s="16"/>
      <c r="R32" s="77"/>
      <c r="S32" s="78"/>
    </row>
    <row r="33" spans="1:19" s="76" customFormat="1" ht="15.75" thickBot="1" x14ac:dyDescent="0.25">
      <c r="A33" s="55" t="s">
        <v>1138</v>
      </c>
      <c r="B33" s="80">
        <v>0</v>
      </c>
      <c r="C33" s="189" t="s">
        <v>880</v>
      </c>
      <c r="D33" s="205">
        <v>1</v>
      </c>
      <c r="E33" s="112" t="s">
        <v>1505</v>
      </c>
      <c r="F33" s="206">
        <v>124.4</v>
      </c>
      <c r="G33" s="207" t="s">
        <v>1531</v>
      </c>
      <c r="H33" s="210">
        <v>391.7</v>
      </c>
      <c r="I33" s="211" t="s">
        <v>1575</v>
      </c>
      <c r="J33" s="213">
        <v>704.2</v>
      </c>
      <c r="K33" s="214" t="s">
        <v>1621</v>
      </c>
      <c r="L33" s="218">
        <v>992.3</v>
      </c>
      <c r="M33" s="218" t="s">
        <v>1666</v>
      </c>
      <c r="N33" s="270">
        <v>1146.8</v>
      </c>
      <c r="O33" s="216" t="s">
        <v>1712</v>
      </c>
      <c r="P33" s="16"/>
      <c r="Q33" s="16"/>
      <c r="R33" s="77"/>
      <c r="S33" s="78"/>
    </row>
    <row r="34" spans="1:19" s="174" customFormat="1" ht="17.25" thickBot="1" x14ac:dyDescent="0.3">
      <c r="A34" s="167" t="s">
        <v>440</v>
      </c>
      <c r="B34" s="126">
        <f>AVERAGE(B32:B33)</f>
        <v>0</v>
      </c>
      <c r="C34" s="127"/>
      <c r="D34" s="128">
        <f>AVERAGE(D32:D33)</f>
        <v>0.5</v>
      </c>
      <c r="E34" s="129"/>
      <c r="F34" s="130">
        <f>AVERAGE(F32:F33)</f>
        <v>107.5</v>
      </c>
      <c r="G34" s="127"/>
      <c r="H34" s="168">
        <f>AVERAGE(H32:H33)</f>
        <v>354.4</v>
      </c>
      <c r="I34" s="129"/>
      <c r="J34" s="169">
        <f>AVERAGE(J32:J33)</f>
        <v>648.95000000000005</v>
      </c>
      <c r="K34" s="170"/>
      <c r="L34" s="171">
        <f>AVERAGE(L32:L33)</f>
        <v>918.7</v>
      </c>
      <c r="M34" s="172"/>
      <c r="N34" s="169">
        <f>AVERAGE(N32:N33)</f>
        <v>1058.8</v>
      </c>
      <c r="O34" s="173"/>
      <c r="P34" s="268" t="e">
        <f>AVERAGE(P32:P33)</f>
        <v>#DIV/0!</v>
      </c>
      <c r="Q34" s="186"/>
      <c r="R34" s="171" t="e">
        <f>AVERAGE(R32:R33)</f>
        <v>#DIV/0!</v>
      </c>
      <c r="S34" s="173"/>
    </row>
    <row r="35" spans="1:19" s="76" customFormat="1" ht="16.5" x14ac:dyDescent="0.2">
      <c r="A35" s="51" t="s">
        <v>1139</v>
      </c>
      <c r="B35" s="136"/>
      <c r="C35" s="137"/>
      <c r="D35" s="138"/>
      <c r="E35" s="138"/>
      <c r="F35" s="136"/>
      <c r="G35" s="137"/>
      <c r="H35" s="138"/>
      <c r="I35" s="138"/>
      <c r="J35" s="136"/>
      <c r="K35" s="137"/>
      <c r="L35" s="136"/>
      <c r="M35" s="138"/>
      <c r="N35" s="155"/>
      <c r="O35" s="137"/>
      <c r="P35" s="138"/>
      <c r="Q35" s="138"/>
      <c r="R35" s="77"/>
      <c r="S35" s="78"/>
    </row>
    <row r="36" spans="1:19" s="76" customFormat="1" ht="15" x14ac:dyDescent="0.2">
      <c r="A36" s="55" t="s">
        <v>1140</v>
      </c>
      <c r="B36" s="80">
        <v>0</v>
      </c>
      <c r="C36" s="189" t="s">
        <v>880</v>
      </c>
      <c r="D36" s="205">
        <v>1.2</v>
      </c>
      <c r="E36" s="112" t="s">
        <v>719</v>
      </c>
      <c r="F36" s="206">
        <v>101</v>
      </c>
      <c r="G36" s="207" t="s">
        <v>1532</v>
      </c>
      <c r="H36" s="210">
        <v>323</v>
      </c>
      <c r="I36" s="211" t="s">
        <v>1576</v>
      </c>
      <c r="J36" s="213">
        <v>571.79999999999995</v>
      </c>
      <c r="K36" s="214" t="s">
        <v>1622</v>
      </c>
      <c r="L36" s="218">
        <v>809.9</v>
      </c>
      <c r="M36" s="218" t="s">
        <v>1667</v>
      </c>
      <c r="N36" s="270">
        <v>937</v>
      </c>
      <c r="O36" s="216" t="s">
        <v>1713</v>
      </c>
      <c r="P36" s="16"/>
      <c r="Q36" s="16"/>
      <c r="R36" s="77"/>
      <c r="S36" s="78"/>
    </row>
    <row r="37" spans="1:19" s="76" customFormat="1" ht="15" x14ac:dyDescent="0.2">
      <c r="A37" s="55" t="s">
        <v>1141</v>
      </c>
      <c r="B37" s="80">
        <v>0</v>
      </c>
      <c r="C37" s="189" t="s">
        <v>979</v>
      </c>
      <c r="D37" s="205">
        <v>1.4</v>
      </c>
      <c r="E37" s="112" t="s">
        <v>1506</v>
      </c>
      <c r="F37" s="206">
        <v>119.3</v>
      </c>
      <c r="G37" s="207" t="s">
        <v>1533</v>
      </c>
      <c r="H37" s="210">
        <v>371.3</v>
      </c>
      <c r="I37" s="211" t="s">
        <v>1577</v>
      </c>
      <c r="J37" s="213">
        <v>657.8</v>
      </c>
      <c r="K37" s="214" t="s">
        <v>1623</v>
      </c>
      <c r="L37" s="218">
        <v>942.3</v>
      </c>
      <c r="M37" s="218" t="s">
        <v>1668</v>
      </c>
      <c r="N37" s="270">
        <v>1117.9000000000001</v>
      </c>
      <c r="O37" s="216" t="s">
        <v>1714</v>
      </c>
      <c r="P37" s="16"/>
      <c r="Q37" s="16"/>
      <c r="R37" s="77"/>
      <c r="S37" s="78"/>
    </row>
    <row r="38" spans="1:19" s="76" customFormat="1" ht="15.75" thickBot="1" x14ac:dyDescent="0.25">
      <c r="A38" s="55" t="s">
        <v>1142</v>
      </c>
      <c r="B38" s="80">
        <v>0</v>
      </c>
      <c r="C38" s="189" t="s">
        <v>880</v>
      </c>
      <c r="D38" s="205">
        <v>3.9</v>
      </c>
      <c r="E38" s="112" t="s">
        <v>1507</v>
      </c>
      <c r="F38" s="206">
        <v>120.7</v>
      </c>
      <c r="G38" s="207" t="s">
        <v>1534</v>
      </c>
      <c r="H38" s="210">
        <v>386</v>
      </c>
      <c r="I38" s="211" t="s">
        <v>1578</v>
      </c>
      <c r="J38" s="213">
        <v>693.3</v>
      </c>
      <c r="K38" s="214" t="s">
        <v>1624</v>
      </c>
      <c r="L38" s="218">
        <v>980.3</v>
      </c>
      <c r="M38" s="218" t="s">
        <v>1669</v>
      </c>
      <c r="N38" s="270">
        <v>1151</v>
      </c>
      <c r="O38" s="216" t="s">
        <v>1715</v>
      </c>
      <c r="P38" s="16"/>
      <c r="Q38" s="16"/>
      <c r="R38" s="77"/>
      <c r="S38" s="78"/>
    </row>
    <row r="39" spans="1:19" s="174" customFormat="1" ht="17.25" thickBot="1" x14ac:dyDescent="0.3">
      <c r="A39" s="167" t="s">
        <v>440</v>
      </c>
      <c r="B39" s="126">
        <f>AVERAGE(B36:B38)</f>
        <v>0</v>
      </c>
      <c r="C39" s="127"/>
      <c r="D39" s="128">
        <f>AVERAGE(D36:D38)</f>
        <v>2.1666666666666665</v>
      </c>
      <c r="E39" s="129"/>
      <c r="F39" s="126">
        <f>AVERAGE(F36:F38)</f>
        <v>113.66666666666667</v>
      </c>
      <c r="G39" s="127"/>
      <c r="H39" s="175">
        <f>AVERAGE(H36:H38)</f>
        <v>360.09999999999997</v>
      </c>
      <c r="I39" s="129"/>
      <c r="J39" s="169">
        <f>AVERAGE(J36:J38)</f>
        <v>640.96666666666658</v>
      </c>
      <c r="K39" s="170"/>
      <c r="L39" s="169">
        <f>AVERAGE(L36:L38)</f>
        <v>910.83333333333337</v>
      </c>
      <c r="M39" s="172"/>
      <c r="N39" s="169">
        <f>AVERAGE(N36:N38)</f>
        <v>1068.6333333333334</v>
      </c>
      <c r="O39" s="173"/>
      <c r="P39" s="269" t="e">
        <f>AVERAGE(P36:P38)</f>
        <v>#DIV/0!</v>
      </c>
      <c r="Q39" s="186"/>
      <c r="R39" s="171" t="e">
        <f>AVERAGE(R36:R38)</f>
        <v>#DIV/0!</v>
      </c>
      <c r="S39" s="173"/>
    </row>
    <row r="40" spans="1:19" s="76" customFormat="1" ht="16.5" x14ac:dyDescent="0.2">
      <c r="A40" s="53" t="s">
        <v>1341</v>
      </c>
      <c r="B40" s="136"/>
      <c r="C40" s="137"/>
      <c r="D40" s="138"/>
      <c r="E40" s="138"/>
      <c r="F40" s="153"/>
      <c r="G40" s="101"/>
      <c r="H40" s="138"/>
      <c r="I40" s="138"/>
      <c r="J40" s="136"/>
      <c r="K40" s="137"/>
      <c r="L40" s="136"/>
      <c r="M40" s="138"/>
      <c r="N40" s="155"/>
      <c r="O40" s="137"/>
      <c r="P40" s="138"/>
      <c r="Q40" s="138"/>
      <c r="R40" s="77"/>
      <c r="S40" s="78"/>
    </row>
    <row r="41" spans="1:19" s="76" customFormat="1" ht="15" x14ac:dyDescent="0.2">
      <c r="A41" s="10" t="s">
        <v>1342</v>
      </c>
      <c r="B41" s="154">
        <v>0</v>
      </c>
      <c r="C41" s="190" t="s">
        <v>880</v>
      </c>
      <c r="D41" s="205">
        <v>0</v>
      </c>
      <c r="E41" s="112" t="s">
        <v>880</v>
      </c>
      <c r="F41" s="206">
        <v>109.3</v>
      </c>
      <c r="G41" s="207" t="s">
        <v>1552</v>
      </c>
      <c r="H41" s="212">
        <v>365</v>
      </c>
      <c r="I41" s="211" t="s">
        <v>1579</v>
      </c>
      <c r="J41" s="215">
        <v>680.3</v>
      </c>
      <c r="K41" s="216" t="s">
        <v>1641</v>
      </c>
      <c r="L41" s="218">
        <v>962.2</v>
      </c>
      <c r="M41" s="218" t="s">
        <v>1670</v>
      </c>
      <c r="N41" s="270">
        <v>1108.0999999999999</v>
      </c>
      <c r="O41" s="216" t="s">
        <v>1716</v>
      </c>
      <c r="P41" s="16"/>
      <c r="Q41" s="16"/>
      <c r="R41" s="77"/>
      <c r="S41" s="78"/>
    </row>
    <row r="42" spans="1:19" s="76" customFormat="1" ht="15" x14ac:dyDescent="0.2">
      <c r="A42" s="10" t="s">
        <v>1343</v>
      </c>
      <c r="B42" s="154">
        <v>0</v>
      </c>
      <c r="C42" s="190" t="s">
        <v>880</v>
      </c>
      <c r="D42" s="205">
        <v>0.6</v>
      </c>
      <c r="E42" s="112" t="s">
        <v>1508</v>
      </c>
      <c r="F42" s="206">
        <v>127</v>
      </c>
      <c r="G42" s="207" t="s">
        <v>1535</v>
      </c>
      <c r="H42" s="212">
        <v>396.9</v>
      </c>
      <c r="I42" s="211" t="s">
        <v>1580</v>
      </c>
      <c r="J42" s="215">
        <v>705.5</v>
      </c>
      <c r="K42" s="217" t="s">
        <v>1625</v>
      </c>
      <c r="L42" s="218">
        <v>1002.4</v>
      </c>
      <c r="M42" s="218" t="s">
        <v>1671</v>
      </c>
      <c r="N42" s="270">
        <v>1145.4000000000001</v>
      </c>
      <c r="O42" s="216" t="s">
        <v>1717</v>
      </c>
      <c r="P42" s="16"/>
      <c r="Q42" s="16"/>
      <c r="R42" s="77"/>
      <c r="S42" s="78"/>
    </row>
    <row r="43" spans="1:19" s="76" customFormat="1" ht="15" x14ac:dyDescent="0.2">
      <c r="A43" s="10" t="s">
        <v>1344</v>
      </c>
      <c r="B43" s="154">
        <v>0</v>
      </c>
      <c r="C43" s="190" t="s">
        <v>880</v>
      </c>
      <c r="D43" s="205">
        <v>1.3</v>
      </c>
      <c r="E43" s="112" t="s">
        <v>1509</v>
      </c>
      <c r="F43" s="206">
        <v>81.900000000000006</v>
      </c>
      <c r="G43" s="207" t="s">
        <v>1553</v>
      </c>
      <c r="H43" s="212">
        <v>296.10000000000002</v>
      </c>
      <c r="I43" s="211" t="s">
        <v>1581</v>
      </c>
      <c r="J43" s="215">
        <v>558.5</v>
      </c>
      <c r="K43" s="217" t="s">
        <v>1642</v>
      </c>
      <c r="L43" s="218">
        <v>811.8</v>
      </c>
      <c r="M43" s="218" t="s">
        <v>1672</v>
      </c>
      <c r="N43" s="270">
        <v>931.5</v>
      </c>
      <c r="O43" s="216" t="s">
        <v>1718</v>
      </c>
      <c r="P43" s="16"/>
      <c r="Q43" s="16"/>
      <c r="R43" s="77"/>
      <c r="S43" s="78"/>
    </row>
    <row r="44" spans="1:19" s="76" customFormat="1" ht="15" x14ac:dyDescent="0.2">
      <c r="A44" s="10" t="s">
        <v>1345</v>
      </c>
      <c r="B44" s="154">
        <v>0</v>
      </c>
      <c r="C44" s="190" t="s">
        <v>880</v>
      </c>
      <c r="D44" s="205">
        <v>0</v>
      </c>
      <c r="E44" s="112" t="s">
        <v>880</v>
      </c>
      <c r="F44" s="206">
        <v>78</v>
      </c>
      <c r="G44" s="207" t="s">
        <v>1554</v>
      </c>
      <c r="H44" s="212">
        <v>277</v>
      </c>
      <c r="I44" s="211" t="s">
        <v>1582</v>
      </c>
      <c r="J44" s="215">
        <v>535.79999999999995</v>
      </c>
      <c r="K44" s="217" t="s">
        <v>1643</v>
      </c>
      <c r="L44" s="218">
        <v>764.9</v>
      </c>
      <c r="M44" s="218" t="s">
        <v>1673</v>
      </c>
      <c r="N44" s="270">
        <v>869.7</v>
      </c>
      <c r="O44" s="216" t="s">
        <v>1719</v>
      </c>
      <c r="P44" s="16"/>
      <c r="Q44" s="16"/>
      <c r="R44" s="77"/>
      <c r="S44" s="78"/>
    </row>
    <row r="45" spans="1:19" s="76" customFormat="1" ht="15" x14ac:dyDescent="0.2">
      <c r="A45" s="10" t="s">
        <v>1346</v>
      </c>
      <c r="B45" s="154">
        <v>0</v>
      </c>
      <c r="C45" s="190" t="s">
        <v>880</v>
      </c>
      <c r="D45" s="205">
        <v>1.4</v>
      </c>
      <c r="E45" s="112" t="s">
        <v>1510</v>
      </c>
      <c r="F45" s="206">
        <v>91.5</v>
      </c>
      <c r="G45" s="207" t="s">
        <v>1555</v>
      </c>
      <c r="H45" s="212">
        <v>335.7</v>
      </c>
      <c r="I45" s="211" t="s">
        <v>1583</v>
      </c>
      <c r="J45" s="215">
        <v>624.20000000000005</v>
      </c>
      <c r="K45" s="217" t="s">
        <v>1644</v>
      </c>
      <c r="L45" s="218">
        <v>902.3</v>
      </c>
      <c r="M45" s="218" t="s">
        <v>1674</v>
      </c>
      <c r="N45" s="270">
        <v>1018.1</v>
      </c>
      <c r="O45" s="216" t="s">
        <v>1720</v>
      </c>
      <c r="P45" s="16"/>
      <c r="Q45" s="16"/>
      <c r="R45" s="77"/>
      <c r="S45" s="78"/>
    </row>
    <row r="46" spans="1:19" s="76" customFormat="1" ht="15" x14ac:dyDescent="0.2">
      <c r="A46" s="10"/>
      <c r="B46" s="154"/>
      <c r="C46" s="190"/>
      <c r="D46" s="205"/>
      <c r="E46" s="112"/>
      <c r="F46" s="160"/>
      <c r="G46" s="23"/>
      <c r="H46" s="161"/>
      <c r="I46" s="16"/>
      <c r="J46" s="136"/>
      <c r="K46" s="23"/>
      <c r="L46" s="21"/>
      <c r="M46" s="22"/>
      <c r="N46" s="270"/>
      <c r="O46" s="216"/>
      <c r="P46" s="16"/>
      <c r="Q46" s="16"/>
      <c r="R46" s="77"/>
      <c r="S46" s="78"/>
    </row>
    <row r="47" spans="1:19" s="76" customFormat="1" ht="15" x14ac:dyDescent="0.2">
      <c r="A47" s="10" t="s">
        <v>1347</v>
      </c>
      <c r="B47" s="154">
        <v>0</v>
      </c>
      <c r="C47" s="190" t="s">
        <v>880</v>
      </c>
      <c r="D47" s="205">
        <v>0</v>
      </c>
      <c r="E47" s="112" t="s">
        <v>880</v>
      </c>
      <c r="F47" s="206">
        <v>88.6</v>
      </c>
      <c r="G47" s="207" t="s">
        <v>1556</v>
      </c>
      <c r="H47" s="212">
        <v>313.7</v>
      </c>
      <c r="I47" s="211" t="s">
        <v>1584</v>
      </c>
      <c r="J47" s="215">
        <v>589.1</v>
      </c>
      <c r="K47" s="217" t="s">
        <v>1645</v>
      </c>
      <c r="L47" s="218">
        <v>851.7</v>
      </c>
      <c r="M47" s="218" t="s">
        <v>1675</v>
      </c>
      <c r="N47" s="270">
        <v>970.5</v>
      </c>
      <c r="O47" s="216" t="s">
        <v>1744</v>
      </c>
      <c r="P47" s="16"/>
      <c r="Q47" s="16"/>
      <c r="R47" s="77"/>
      <c r="S47" s="78"/>
    </row>
    <row r="48" spans="1:19" s="76" customFormat="1" ht="15" x14ac:dyDescent="0.2">
      <c r="A48" s="10" t="s">
        <v>1348</v>
      </c>
      <c r="B48" s="154">
        <v>0</v>
      </c>
      <c r="C48" s="190" t="s">
        <v>880</v>
      </c>
      <c r="D48" s="205">
        <v>0.1</v>
      </c>
      <c r="E48" s="112" t="s">
        <v>1060</v>
      </c>
      <c r="F48" s="206">
        <v>117.2</v>
      </c>
      <c r="G48" s="207" t="s">
        <v>1536</v>
      </c>
      <c r="H48" s="212">
        <v>383.5</v>
      </c>
      <c r="I48" s="211" t="s">
        <v>1585</v>
      </c>
      <c r="J48" s="215">
        <v>703.9</v>
      </c>
      <c r="K48" s="217" t="s">
        <v>1626</v>
      </c>
      <c r="L48" s="218">
        <v>991.2</v>
      </c>
      <c r="M48" s="218" t="s">
        <v>1676</v>
      </c>
      <c r="N48" s="270">
        <v>1139.3</v>
      </c>
      <c r="O48" s="216" t="s">
        <v>1721</v>
      </c>
      <c r="P48" s="16"/>
      <c r="Q48" s="16"/>
      <c r="R48" s="77"/>
      <c r="S48" s="78"/>
    </row>
    <row r="49" spans="1:19" s="76" customFormat="1" ht="15" x14ac:dyDescent="0.2">
      <c r="A49" s="10" t="s">
        <v>1349</v>
      </c>
      <c r="B49" s="154">
        <v>0</v>
      </c>
      <c r="C49" s="190" t="s">
        <v>880</v>
      </c>
      <c r="D49" s="205">
        <v>0</v>
      </c>
      <c r="E49" s="112" t="s">
        <v>880</v>
      </c>
      <c r="F49" s="206">
        <v>63.8</v>
      </c>
      <c r="G49" s="207" t="s">
        <v>1557</v>
      </c>
      <c r="H49" s="212">
        <v>252.1</v>
      </c>
      <c r="I49" s="211" t="s">
        <v>1586</v>
      </c>
      <c r="J49" s="215">
        <v>491.3</v>
      </c>
      <c r="K49" s="217" t="s">
        <v>1646</v>
      </c>
      <c r="L49" s="218">
        <v>707.7</v>
      </c>
      <c r="M49" s="218" t="s">
        <v>1677</v>
      </c>
      <c r="N49" s="270">
        <v>801.2</v>
      </c>
      <c r="O49" s="216" t="s">
        <v>1722</v>
      </c>
      <c r="P49" s="16"/>
      <c r="Q49" s="16"/>
      <c r="R49" s="77"/>
      <c r="S49" s="78"/>
    </row>
    <row r="50" spans="1:19" s="76" customFormat="1" ht="15" x14ac:dyDescent="0.2">
      <c r="A50" s="10" t="s">
        <v>1350</v>
      </c>
      <c r="B50" s="154">
        <v>0</v>
      </c>
      <c r="C50" s="190" t="s">
        <v>880</v>
      </c>
      <c r="D50" s="205">
        <v>0</v>
      </c>
      <c r="E50" s="112" t="s">
        <v>880</v>
      </c>
      <c r="F50" s="206">
        <v>93.4</v>
      </c>
      <c r="G50" s="207" t="s">
        <v>1537</v>
      </c>
      <c r="H50" s="212">
        <v>323.3</v>
      </c>
      <c r="I50" s="211" t="s">
        <v>1587</v>
      </c>
      <c r="J50" s="215">
        <v>596.5</v>
      </c>
      <c r="K50" s="217" t="s">
        <v>1647</v>
      </c>
      <c r="L50" s="218">
        <v>852.9</v>
      </c>
      <c r="M50" s="218" t="s">
        <v>1678</v>
      </c>
      <c r="N50" s="270">
        <v>975.4</v>
      </c>
      <c r="O50" s="216" t="s">
        <v>1723</v>
      </c>
      <c r="P50" s="16"/>
      <c r="Q50" s="16"/>
      <c r="R50" s="77"/>
      <c r="S50" s="78"/>
    </row>
    <row r="51" spans="1:19" s="76" customFormat="1" ht="15" x14ac:dyDescent="0.2">
      <c r="A51" s="10" t="s">
        <v>1351</v>
      </c>
      <c r="B51" s="154">
        <v>0</v>
      </c>
      <c r="C51" s="190" t="s">
        <v>880</v>
      </c>
      <c r="D51" s="205">
        <v>0.2</v>
      </c>
      <c r="E51" s="112" t="s">
        <v>277</v>
      </c>
      <c r="F51" s="206">
        <v>79.8</v>
      </c>
      <c r="G51" s="207" t="s">
        <v>1558</v>
      </c>
      <c r="H51" s="212">
        <v>279.3</v>
      </c>
      <c r="I51" s="211" t="s">
        <v>1588</v>
      </c>
      <c r="J51" s="215">
        <v>520.9</v>
      </c>
      <c r="K51" s="217" t="s">
        <v>1648</v>
      </c>
      <c r="L51" s="218">
        <v>746.7</v>
      </c>
      <c r="M51" s="218" t="s">
        <v>1679</v>
      </c>
      <c r="N51" s="270">
        <v>850.4</v>
      </c>
      <c r="O51" s="216" t="s">
        <v>1724</v>
      </c>
      <c r="P51" s="16"/>
      <c r="Q51" s="16"/>
      <c r="R51" s="77"/>
      <c r="S51" s="78"/>
    </row>
    <row r="52" spans="1:19" s="76" customFormat="1" ht="15" x14ac:dyDescent="0.2">
      <c r="A52" s="10" t="s">
        <v>1352</v>
      </c>
      <c r="B52" s="154">
        <v>0</v>
      </c>
      <c r="C52" s="190" t="s">
        <v>880</v>
      </c>
      <c r="D52" s="205">
        <v>0</v>
      </c>
      <c r="E52" s="112" t="s">
        <v>880</v>
      </c>
      <c r="F52" s="206">
        <v>100.7</v>
      </c>
      <c r="G52" s="207" t="s">
        <v>1559</v>
      </c>
      <c r="H52" s="212">
        <v>342.2</v>
      </c>
      <c r="I52" s="211" t="s">
        <v>1589</v>
      </c>
      <c r="J52" s="215">
        <v>634.70000000000005</v>
      </c>
      <c r="K52" s="217" t="s">
        <v>1649</v>
      </c>
      <c r="L52" s="218">
        <v>901.6</v>
      </c>
      <c r="M52" s="218" t="s">
        <v>1680</v>
      </c>
      <c r="N52" s="270">
        <v>1030.2</v>
      </c>
      <c r="O52" s="216" t="s">
        <v>1725</v>
      </c>
      <c r="P52" s="16"/>
      <c r="Q52" s="16"/>
      <c r="R52" s="77"/>
      <c r="S52" s="78"/>
    </row>
    <row r="53" spans="1:19" s="76" customFormat="1" ht="15" x14ac:dyDescent="0.2">
      <c r="A53" s="10" t="s">
        <v>1353</v>
      </c>
      <c r="B53" s="154">
        <v>0</v>
      </c>
      <c r="C53" s="190" t="s">
        <v>880</v>
      </c>
      <c r="D53" s="205">
        <v>0</v>
      </c>
      <c r="E53" s="112" t="s">
        <v>880</v>
      </c>
      <c r="F53" s="206">
        <v>101.7</v>
      </c>
      <c r="G53" s="207" t="s">
        <v>1560</v>
      </c>
      <c r="H53" s="212">
        <v>355.3</v>
      </c>
      <c r="I53" s="211" t="s">
        <v>1590</v>
      </c>
      <c r="J53" s="215">
        <v>661.7</v>
      </c>
      <c r="K53" s="217" t="s">
        <v>1650</v>
      </c>
      <c r="L53" s="218">
        <v>942.4</v>
      </c>
      <c r="M53" s="218" t="s">
        <v>1681</v>
      </c>
      <c r="N53" s="270">
        <v>1075.9000000000001</v>
      </c>
      <c r="O53" s="216" t="s">
        <v>1726</v>
      </c>
      <c r="P53" s="16"/>
      <c r="Q53" s="16"/>
      <c r="R53" s="77"/>
      <c r="S53" s="78"/>
    </row>
    <row r="54" spans="1:19" s="76" customFormat="1" ht="15" x14ac:dyDescent="0.2">
      <c r="A54" s="10" t="s">
        <v>1354</v>
      </c>
      <c r="B54" s="154">
        <v>0</v>
      </c>
      <c r="C54" s="190" t="s">
        <v>880</v>
      </c>
      <c r="D54" s="205">
        <v>0</v>
      </c>
      <c r="E54" s="112" t="s">
        <v>880</v>
      </c>
      <c r="F54" s="206">
        <v>102.7</v>
      </c>
      <c r="G54" s="207" t="s">
        <v>1561</v>
      </c>
      <c r="H54" s="212">
        <v>349.6</v>
      </c>
      <c r="I54" s="211" t="s">
        <v>1591</v>
      </c>
      <c r="J54" s="215">
        <v>650.1</v>
      </c>
      <c r="K54" s="217" t="s">
        <v>1651</v>
      </c>
      <c r="L54" s="218">
        <v>926.4</v>
      </c>
      <c r="M54" s="218" t="s">
        <v>1682</v>
      </c>
      <c r="N54" s="270">
        <v>1061.5</v>
      </c>
      <c r="O54" s="216" t="s">
        <v>1727</v>
      </c>
      <c r="P54" s="16"/>
      <c r="Q54" s="16"/>
      <c r="R54" s="77"/>
      <c r="S54" s="78"/>
    </row>
    <row r="55" spans="1:19" s="76" customFormat="1" ht="15" x14ac:dyDescent="0.2">
      <c r="A55" s="10"/>
      <c r="B55" s="154"/>
      <c r="C55" s="190"/>
      <c r="D55" s="205"/>
      <c r="E55" s="112"/>
      <c r="F55" s="160"/>
      <c r="G55" s="23"/>
      <c r="H55" s="161"/>
      <c r="I55" s="16"/>
      <c r="J55" s="215"/>
      <c r="K55" s="217"/>
      <c r="L55" s="218"/>
      <c r="M55" s="218"/>
      <c r="N55" s="270"/>
      <c r="O55" s="216"/>
      <c r="P55" s="16"/>
      <c r="Q55" s="16"/>
      <c r="R55" s="77"/>
      <c r="S55" s="78"/>
    </row>
    <row r="56" spans="1:19" s="76" customFormat="1" ht="15" x14ac:dyDescent="0.2">
      <c r="A56" s="10"/>
      <c r="B56" s="154"/>
      <c r="C56" s="190"/>
      <c r="D56" s="205"/>
      <c r="E56" s="112"/>
      <c r="F56" s="160"/>
      <c r="G56" s="23"/>
      <c r="H56" s="161"/>
      <c r="I56" s="16"/>
      <c r="J56" s="215"/>
      <c r="K56" s="217"/>
      <c r="L56" s="218"/>
      <c r="M56" s="218"/>
      <c r="N56" s="270"/>
      <c r="O56" s="216"/>
      <c r="P56" s="16"/>
      <c r="Q56" s="16"/>
      <c r="R56" s="77"/>
      <c r="S56" s="78"/>
    </row>
    <row r="57" spans="1:19" s="76" customFormat="1" ht="15.75" customHeight="1" thickBot="1" x14ac:dyDescent="0.25">
      <c r="A57" s="10" t="s">
        <v>1355</v>
      </c>
      <c r="B57" s="154">
        <v>0</v>
      </c>
      <c r="C57" s="190" t="s">
        <v>880</v>
      </c>
      <c r="D57" s="205">
        <v>0</v>
      </c>
      <c r="E57" s="112" t="s">
        <v>880</v>
      </c>
      <c r="F57" s="83">
        <v>103.2</v>
      </c>
      <c r="G57" s="98" t="s">
        <v>1562</v>
      </c>
      <c r="H57" s="212">
        <v>375.5</v>
      </c>
      <c r="I57" s="211" t="s">
        <v>1592</v>
      </c>
      <c r="J57" s="215">
        <v>709.1</v>
      </c>
      <c r="K57" s="217">
        <v>709.1</v>
      </c>
      <c r="L57" s="218">
        <v>1014.8</v>
      </c>
      <c r="M57" s="218" t="s">
        <v>1683</v>
      </c>
      <c r="N57" s="270">
        <v>1175.5999999999999</v>
      </c>
      <c r="O57" s="216" t="s">
        <v>1728</v>
      </c>
      <c r="P57" s="16"/>
      <c r="Q57" s="16"/>
      <c r="R57" s="77"/>
      <c r="S57" s="78"/>
    </row>
    <row r="58" spans="1:19" s="174" customFormat="1" ht="17.25" customHeight="1" thickBot="1" x14ac:dyDescent="0.3">
      <c r="A58" s="167" t="s">
        <v>440</v>
      </c>
      <c r="B58" s="178">
        <f>AVERAGE(B41:B57)</f>
        <v>0</v>
      </c>
      <c r="C58" s="179"/>
      <c r="D58" s="128">
        <f>AVERAGE(D41:D57)</f>
        <v>0.25714285714285717</v>
      </c>
      <c r="E58" s="129"/>
      <c r="F58" s="126">
        <f>AVERAGE(F41:F57)</f>
        <v>95.628571428571448</v>
      </c>
      <c r="G58" s="127"/>
      <c r="H58" s="175">
        <f>AVERAGE(H41:H57)</f>
        <v>331.80000000000007</v>
      </c>
      <c r="I58" s="129"/>
      <c r="J58" s="169">
        <f>AVERAGE(J41:J57)</f>
        <v>618.68571428571431</v>
      </c>
      <c r="K58" s="170"/>
      <c r="L58" s="169">
        <f>AVERAGE(L41:L57)</f>
        <v>884.21428571428555</v>
      </c>
      <c r="M58" s="172"/>
      <c r="N58" s="169">
        <f>AVERAGE(N41:N57)</f>
        <v>1010.9142857142858</v>
      </c>
      <c r="O58" s="173"/>
      <c r="P58" s="269" t="e">
        <f>AVERAGE(P41:P57)</f>
        <v>#DIV/0!</v>
      </c>
      <c r="Q58" s="186"/>
      <c r="R58" s="171" t="e">
        <f>AVERAGE(R41:R57)</f>
        <v>#DIV/0!</v>
      </c>
      <c r="S58" s="173"/>
    </row>
    <row r="59" spans="1:19" s="76" customFormat="1" ht="16.5" x14ac:dyDescent="0.2">
      <c r="A59" s="51" t="s">
        <v>1143</v>
      </c>
      <c r="B59" s="136"/>
      <c r="C59" s="137"/>
      <c r="D59" s="138"/>
      <c r="E59" s="138"/>
      <c r="F59" s="136"/>
      <c r="G59" s="137"/>
      <c r="H59" s="138"/>
      <c r="I59" s="138"/>
      <c r="J59" s="136"/>
      <c r="K59" s="137"/>
      <c r="L59" s="136"/>
      <c r="M59" s="138"/>
      <c r="N59" s="155"/>
      <c r="O59" s="137"/>
      <c r="P59" s="138"/>
      <c r="Q59" s="138"/>
      <c r="R59" s="77"/>
      <c r="S59" s="78"/>
    </row>
    <row r="60" spans="1:19" s="76" customFormat="1" ht="15" customHeight="1" x14ac:dyDescent="0.2">
      <c r="A60" s="55" t="s">
        <v>1144</v>
      </c>
      <c r="B60" s="80">
        <v>0</v>
      </c>
      <c r="C60" s="189" t="s">
        <v>880</v>
      </c>
      <c r="D60" s="205">
        <v>10.9</v>
      </c>
      <c r="E60" s="112" t="s">
        <v>117</v>
      </c>
      <c r="F60" s="208"/>
      <c r="G60" s="209"/>
      <c r="H60" s="210">
        <v>372.4</v>
      </c>
      <c r="I60" s="211" t="s">
        <v>1598</v>
      </c>
      <c r="J60" s="213">
        <v>695.6</v>
      </c>
      <c r="K60" s="216" t="s">
        <v>1631</v>
      </c>
      <c r="L60" s="218">
        <v>971.7</v>
      </c>
      <c r="M60" s="218" t="s">
        <v>1653</v>
      </c>
      <c r="N60" s="270">
        <v>1142.0999999999999</v>
      </c>
      <c r="O60" s="216" t="s">
        <v>1734</v>
      </c>
      <c r="P60" s="16"/>
      <c r="Q60" s="16"/>
      <c r="R60" s="77"/>
      <c r="S60" s="78"/>
    </row>
    <row r="61" spans="1:19" s="76" customFormat="1" ht="15" x14ac:dyDescent="0.2">
      <c r="A61" s="55" t="s">
        <v>1145</v>
      </c>
      <c r="B61" s="80">
        <v>0</v>
      </c>
      <c r="C61" s="189" t="s">
        <v>880</v>
      </c>
      <c r="D61" s="205">
        <v>7.1</v>
      </c>
      <c r="E61" s="112" t="s">
        <v>1502</v>
      </c>
      <c r="F61" s="206">
        <v>87.2</v>
      </c>
      <c r="G61" s="207" t="s">
        <v>1538</v>
      </c>
      <c r="H61" s="210">
        <v>285.89999999999998</v>
      </c>
      <c r="I61" s="211" t="s">
        <v>1593</v>
      </c>
      <c r="J61" s="213">
        <v>552.29999999999995</v>
      </c>
      <c r="K61" s="214" t="s">
        <v>1652</v>
      </c>
      <c r="L61" s="218">
        <v>825.5</v>
      </c>
      <c r="M61" s="218" t="s">
        <v>1684</v>
      </c>
      <c r="N61" s="270">
        <v>990.5</v>
      </c>
      <c r="O61" s="216" t="s">
        <v>1729</v>
      </c>
      <c r="P61" s="16"/>
      <c r="Q61" s="16"/>
      <c r="R61" s="77"/>
      <c r="S61" s="78"/>
    </row>
    <row r="62" spans="1:19" s="76" customFormat="1" ht="15" x14ac:dyDescent="0.2">
      <c r="A62" s="55" t="s">
        <v>1146</v>
      </c>
      <c r="B62" s="80">
        <v>0</v>
      </c>
      <c r="C62" s="189" t="s">
        <v>880</v>
      </c>
      <c r="D62" s="205">
        <v>17.399999999999999</v>
      </c>
      <c r="E62" s="112" t="s">
        <v>1511</v>
      </c>
      <c r="F62" s="206">
        <v>139.9</v>
      </c>
      <c r="G62" s="207" t="s">
        <v>1539</v>
      </c>
      <c r="H62" s="210">
        <v>389</v>
      </c>
      <c r="I62" s="211" t="s">
        <v>1594</v>
      </c>
      <c r="J62" s="213">
        <v>710.8</v>
      </c>
      <c r="K62" s="214" t="s">
        <v>1627</v>
      </c>
      <c r="L62" s="218">
        <v>987.6</v>
      </c>
      <c r="M62" s="218" t="s">
        <v>1685</v>
      </c>
      <c r="N62" s="270">
        <v>1159.9000000000001</v>
      </c>
      <c r="O62" s="216" t="s">
        <v>1730</v>
      </c>
      <c r="P62" s="16"/>
      <c r="Q62" s="16"/>
      <c r="R62" s="77"/>
      <c r="S62" s="78"/>
    </row>
    <row r="63" spans="1:19" s="76" customFormat="1" ht="15" x14ac:dyDescent="0.2">
      <c r="A63" s="55" t="s">
        <v>1147</v>
      </c>
      <c r="B63" s="80">
        <v>0</v>
      </c>
      <c r="C63" s="189" t="s">
        <v>880</v>
      </c>
      <c r="D63" s="205">
        <v>9.3000000000000007</v>
      </c>
      <c r="E63" s="112" t="s">
        <v>1512</v>
      </c>
      <c r="F63" s="206">
        <v>147.30000000000001</v>
      </c>
      <c r="G63" s="207" t="s">
        <v>1540</v>
      </c>
      <c r="H63" s="210">
        <v>438.9</v>
      </c>
      <c r="I63" s="211" t="s">
        <v>1595</v>
      </c>
      <c r="J63" s="213">
        <v>783.3</v>
      </c>
      <c r="K63" s="214" t="s">
        <v>1628</v>
      </c>
      <c r="L63" s="218">
        <v>1093.3</v>
      </c>
      <c r="M63" s="218" t="s">
        <v>1686</v>
      </c>
      <c r="N63" s="270">
        <v>1278.3</v>
      </c>
      <c r="O63" s="216" t="s">
        <v>1731</v>
      </c>
      <c r="P63" s="16"/>
      <c r="Q63" s="16"/>
      <c r="R63" s="77"/>
      <c r="S63" s="78"/>
    </row>
    <row r="64" spans="1:19" s="76" customFormat="1" ht="15" x14ac:dyDescent="0.2">
      <c r="A64" s="55" t="s">
        <v>1148</v>
      </c>
      <c r="B64" s="80">
        <v>0</v>
      </c>
      <c r="C64" s="189" t="s">
        <v>880</v>
      </c>
      <c r="D64" s="205">
        <v>8.5</v>
      </c>
      <c r="E64" s="112" t="s">
        <v>1513</v>
      </c>
      <c r="F64" s="206">
        <v>142.6</v>
      </c>
      <c r="G64" s="207" t="s">
        <v>1541</v>
      </c>
      <c r="H64" s="210">
        <v>415.7</v>
      </c>
      <c r="I64" s="211" t="s">
        <v>1596</v>
      </c>
      <c r="J64" s="213">
        <v>740</v>
      </c>
      <c r="K64" s="214" t="s">
        <v>1629</v>
      </c>
      <c r="L64" s="218">
        <v>1028.9000000000001</v>
      </c>
      <c r="M64" s="218" t="s">
        <v>1687</v>
      </c>
      <c r="N64" s="270">
        <v>1201.5999999999999</v>
      </c>
      <c r="O64" s="216" t="s">
        <v>1732</v>
      </c>
      <c r="P64" s="16"/>
      <c r="Q64" s="16"/>
      <c r="R64" s="77"/>
      <c r="S64" s="78"/>
    </row>
    <row r="65" spans="1:20" s="76" customFormat="1" ht="15.75" thickBot="1" x14ac:dyDescent="0.25">
      <c r="A65" s="55" t="s">
        <v>1149</v>
      </c>
      <c r="B65" s="80">
        <v>0</v>
      </c>
      <c r="C65" s="189" t="s">
        <v>880</v>
      </c>
      <c r="D65" s="205">
        <v>4.8</v>
      </c>
      <c r="E65" s="112" t="s">
        <v>1514</v>
      </c>
      <c r="F65" s="206">
        <v>144.5</v>
      </c>
      <c r="G65" s="207" t="s">
        <v>1542</v>
      </c>
      <c r="H65" s="210">
        <v>430.2</v>
      </c>
      <c r="I65" s="211" t="s">
        <v>1597</v>
      </c>
      <c r="J65" s="213">
        <v>757.1</v>
      </c>
      <c r="K65" s="214" t="s">
        <v>1630</v>
      </c>
      <c r="L65" s="218">
        <v>1061.2</v>
      </c>
      <c r="M65" s="218" t="s">
        <v>1688</v>
      </c>
      <c r="N65" s="270">
        <v>1233.0999999999999</v>
      </c>
      <c r="O65" s="216" t="s">
        <v>1733</v>
      </c>
      <c r="P65" s="16"/>
      <c r="Q65" s="16"/>
      <c r="R65" s="77"/>
      <c r="S65" s="78"/>
    </row>
    <row r="66" spans="1:20" s="174" customFormat="1" ht="17.25" thickBot="1" x14ac:dyDescent="0.3">
      <c r="A66" s="167" t="s">
        <v>440</v>
      </c>
      <c r="B66" s="126">
        <f>AVERAGE(B60:B65)</f>
        <v>0</v>
      </c>
      <c r="C66" s="127"/>
      <c r="D66" s="128">
        <f>AVERAGE(D60:D65)</f>
        <v>9.6666666666666661</v>
      </c>
      <c r="E66" s="129"/>
      <c r="F66" s="130">
        <f>AVERAGE(F60:F65)</f>
        <v>132.30000000000001</v>
      </c>
      <c r="G66" s="127"/>
      <c r="H66" s="175">
        <f>AVERAGE(H60:H65)</f>
        <v>388.68333333333334</v>
      </c>
      <c r="I66" s="129"/>
      <c r="J66" s="169">
        <f>AVERAGE(J60:J65)</f>
        <v>706.51666666666677</v>
      </c>
      <c r="K66" s="170"/>
      <c r="L66" s="169">
        <f>AVERAGE(L60:L65)</f>
        <v>994.69999999999993</v>
      </c>
      <c r="M66" s="176"/>
      <c r="N66" s="169">
        <f>AVERAGE(N60:N65)</f>
        <v>1167.5833333333333</v>
      </c>
      <c r="O66" s="173"/>
      <c r="P66" s="269" t="e">
        <f>AVERAGE(P60:P65)</f>
        <v>#DIV/0!</v>
      </c>
      <c r="Q66" s="186"/>
      <c r="R66" s="171" t="e">
        <f>AVERAGE(R60:R65)</f>
        <v>#DIV/0!</v>
      </c>
      <c r="S66" s="173"/>
    </row>
    <row r="67" spans="1:20" s="76" customFormat="1" ht="16.5" x14ac:dyDescent="0.2">
      <c r="A67" s="51" t="s">
        <v>1150</v>
      </c>
      <c r="B67" s="136"/>
      <c r="C67" s="137"/>
      <c r="D67" s="138"/>
      <c r="E67" s="138"/>
      <c r="F67" s="136"/>
      <c r="G67" s="137"/>
      <c r="H67" s="138"/>
      <c r="I67" s="138"/>
      <c r="J67" s="136"/>
      <c r="K67" s="137"/>
      <c r="L67" s="136"/>
      <c r="M67" s="138"/>
      <c r="N67" s="155"/>
      <c r="O67" s="137"/>
      <c r="P67" s="138"/>
      <c r="Q67" s="138"/>
      <c r="R67" s="77"/>
      <c r="S67" s="78"/>
    </row>
    <row r="68" spans="1:20" s="76" customFormat="1" ht="15" x14ac:dyDescent="0.2">
      <c r="A68" s="55" t="s">
        <v>1151</v>
      </c>
      <c r="B68" s="80">
        <v>0</v>
      </c>
      <c r="C68" s="189" t="s">
        <v>880</v>
      </c>
      <c r="D68" s="205">
        <v>4</v>
      </c>
      <c r="E68" s="112" t="s">
        <v>1515</v>
      </c>
      <c r="F68" s="206">
        <v>129.69999999999999</v>
      </c>
      <c r="G68" s="207" t="s">
        <v>1543</v>
      </c>
      <c r="H68" s="210">
        <v>409.3</v>
      </c>
      <c r="I68" s="211" t="s">
        <v>1599</v>
      </c>
      <c r="J68" s="213">
        <v>720.5</v>
      </c>
      <c r="K68" s="214" t="s">
        <v>1632</v>
      </c>
      <c r="L68" s="218">
        <v>1007.9</v>
      </c>
      <c r="M68" s="218" t="s">
        <v>1689</v>
      </c>
      <c r="N68" s="270">
        <v>1180.5999999999999</v>
      </c>
      <c r="O68" s="216" t="s">
        <v>1735</v>
      </c>
      <c r="P68" s="16"/>
      <c r="Q68" s="16"/>
      <c r="R68" s="77"/>
      <c r="S68" s="78"/>
    </row>
    <row r="69" spans="1:20" s="76" customFormat="1" ht="15" x14ac:dyDescent="0.2">
      <c r="A69" s="55" t="s">
        <v>1152</v>
      </c>
      <c r="B69" s="80">
        <v>0</v>
      </c>
      <c r="C69" s="189" t="s">
        <v>880</v>
      </c>
      <c r="D69" s="205">
        <v>11.2</v>
      </c>
      <c r="E69" s="112" t="s">
        <v>1516</v>
      </c>
      <c r="F69" s="206">
        <v>137.6</v>
      </c>
      <c r="G69" s="207" t="s">
        <v>1544</v>
      </c>
      <c r="H69" s="210">
        <v>396</v>
      </c>
      <c r="I69" s="211" t="s">
        <v>1600</v>
      </c>
      <c r="J69" s="213">
        <v>709.2</v>
      </c>
      <c r="K69" s="214" t="s">
        <v>1633</v>
      </c>
      <c r="L69" s="218">
        <v>995.4</v>
      </c>
      <c r="M69" s="218" t="s">
        <v>1690</v>
      </c>
      <c r="N69" s="270">
        <v>1171.9000000000001</v>
      </c>
      <c r="O69" s="216" t="s">
        <v>1736</v>
      </c>
      <c r="P69" s="16"/>
      <c r="Q69" s="16"/>
      <c r="R69" s="77"/>
      <c r="S69" s="78"/>
    </row>
    <row r="70" spans="1:20" s="76" customFormat="1" ht="15" x14ac:dyDescent="0.2">
      <c r="A70" s="55" t="s">
        <v>1153</v>
      </c>
      <c r="B70" s="80">
        <v>0</v>
      </c>
      <c r="C70" s="189" t="s">
        <v>880</v>
      </c>
      <c r="D70" s="205">
        <v>8.8000000000000007</v>
      </c>
      <c r="E70" s="112" t="s">
        <v>1517</v>
      </c>
      <c r="F70" s="206">
        <v>139.80000000000001</v>
      </c>
      <c r="G70" s="207" t="s">
        <v>1545</v>
      </c>
      <c r="H70" s="210">
        <v>419.1</v>
      </c>
      <c r="I70" s="211" t="s">
        <v>1601</v>
      </c>
      <c r="J70" s="213">
        <v>749.1</v>
      </c>
      <c r="K70" s="214" t="s">
        <v>1634</v>
      </c>
      <c r="L70" s="218">
        <v>1042.0999999999999</v>
      </c>
      <c r="M70" s="218" t="s">
        <v>1691</v>
      </c>
      <c r="N70" s="270">
        <v>1218.5999999999999</v>
      </c>
      <c r="O70" s="216" t="s">
        <v>1737</v>
      </c>
      <c r="P70" s="16"/>
      <c r="Q70" s="16"/>
      <c r="R70" s="77"/>
      <c r="S70" s="78"/>
    </row>
    <row r="71" spans="1:20" s="76" customFormat="1" ht="15" x14ac:dyDescent="0.2">
      <c r="A71" s="55" t="s">
        <v>1154</v>
      </c>
      <c r="B71" s="80">
        <v>0</v>
      </c>
      <c r="C71" s="189" t="s">
        <v>880</v>
      </c>
      <c r="D71" s="205">
        <v>6.8</v>
      </c>
      <c r="E71" s="112" t="s">
        <v>1518</v>
      </c>
      <c r="F71" s="206">
        <v>135.1</v>
      </c>
      <c r="G71" s="207" t="s">
        <v>1546</v>
      </c>
      <c r="H71" s="210">
        <v>402.8</v>
      </c>
      <c r="I71" s="211" t="s">
        <v>1602</v>
      </c>
      <c r="J71" s="213">
        <v>723.4</v>
      </c>
      <c r="K71" s="214" t="s">
        <v>1635</v>
      </c>
      <c r="L71" s="218">
        <v>1010</v>
      </c>
      <c r="M71" s="218" t="s">
        <v>1692</v>
      </c>
      <c r="N71" s="270">
        <v>1188.7</v>
      </c>
      <c r="O71" s="216" t="s">
        <v>1738</v>
      </c>
      <c r="P71" s="16"/>
      <c r="Q71" s="16"/>
      <c r="R71" s="77"/>
      <c r="S71" s="78"/>
      <c r="T71" s="76" t="s">
        <v>1338</v>
      </c>
    </row>
    <row r="72" spans="1:20" s="76" customFormat="1" ht="15.75" thickBot="1" x14ac:dyDescent="0.25">
      <c r="A72" s="55" t="s">
        <v>1155</v>
      </c>
      <c r="B72" s="80">
        <v>0</v>
      </c>
      <c r="C72" s="189" t="s">
        <v>880</v>
      </c>
      <c r="D72" s="205">
        <v>9.4</v>
      </c>
      <c r="E72" s="112" t="s">
        <v>1519</v>
      </c>
      <c r="F72" s="206">
        <v>134.80000000000001</v>
      </c>
      <c r="G72" s="207" t="s">
        <v>1547</v>
      </c>
      <c r="H72" s="210">
        <v>397</v>
      </c>
      <c r="I72" s="211" t="s">
        <v>1603</v>
      </c>
      <c r="J72" s="213">
        <v>711.3</v>
      </c>
      <c r="K72" s="214" t="s">
        <v>1636</v>
      </c>
      <c r="L72" s="218">
        <v>993.5</v>
      </c>
      <c r="M72" s="218" t="s">
        <v>1693</v>
      </c>
      <c r="N72" s="270">
        <v>1163.7</v>
      </c>
      <c r="O72" s="216" t="s">
        <v>1739</v>
      </c>
      <c r="P72" s="16"/>
      <c r="Q72" s="16"/>
      <c r="R72" s="77"/>
      <c r="S72" s="78"/>
    </row>
    <row r="73" spans="1:20" s="174" customFormat="1" ht="17.25" thickBot="1" x14ac:dyDescent="0.3">
      <c r="A73" s="167" t="s">
        <v>440</v>
      </c>
      <c r="B73" s="126">
        <f>AVERAGE(B68:B72)</f>
        <v>0</v>
      </c>
      <c r="C73" s="127"/>
      <c r="D73" s="128">
        <f>AVERAGE(D68:D72)</f>
        <v>8.0400000000000009</v>
      </c>
      <c r="E73" s="129"/>
      <c r="F73" s="130">
        <f>AVERAGE(F68:F72)</f>
        <v>135.4</v>
      </c>
      <c r="G73" s="127"/>
      <c r="H73" s="175">
        <f>AVERAGE(H68:H72)</f>
        <v>404.84000000000003</v>
      </c>
      <c r="I73" s="129"/>
      <c r="J73" s="169">
        <f>AVERAGE(J68:J72)</f>
        <v>722.7</v>
      </c>
      <c r="K73" s="170"/>
      <c r="L73" s="169">
        <f>AVERAGE(L68:L72)</f>
        <v>1009.78</v>
      </c>
      <c r="M73" s="176"/>
      <c r="N73" s="169">
        <f>AVERAGE(N68:N72)</f>
        <v>1184.7</v>
      </c>
      <c r="O73" s="173"/>
      <c r="P73" s="269" t="e">
        <f>AVERAGE(P68:P72)</f>
        <v>#DIV/0!</v>
      </c>
      <c r="Q73" s="186"/>
      <c r="R73" s="171" t="e">
        <f>AVERAGE(R68:R72)</f>
        <v>#DIV/0!</v>
      </c>
      <c r="S73" s="173"/>
    </row>
    <row r="74" spans="1:20" s="76" customFormat="1" ht="16.5" x14ac:dyDescent="0.2">
      <c r="A74" s="51" t="s">
        <v>1156</v>
      </c>
      <c r="B74" s="136"/>
      <c r="C74" s="137"/>
      <c r="D74" s="138"/>
      <c r="E74" s="138"/>
      <c r="F74" s="136"/>
      <c r="G74" s="137"/>
      <c r="H74" s="138"/>
      <c r="I74" s="138"/>
      <c r="J74" s="136"/>
      <c r="K74" s="137"/>
      <c r="L74" s="136"/>
      <c r="M74" s="138"/>
      <c r="N74" s="155"/>
      <c r="O74" s="137"/>
      <c r="P74" s="138"/>
      <c r="Q74" s="138"/>
      <c r="R74" s="77"/>
      <c r="S74" s="78"/>
    </row>
    <row r="75" spans="1:20" s="76" customFormat="1" ht="15" x14ac:dyDescent="0.2">
      <c r="A75" s="55" t="s">
        <v>1157</v>
      </c>
      <c r="B75" s="80">
        <v>0</v>
      </c>
      <c r="C75" s="189" t="s">
        <v>880</v>
      </c>
      <c r="D75" s="205">
        <v>1.2</v>
      </c>
      <c r="E75" s="112" t="s">
        <v>719</v>
      </c>
      <c r="F75" s="206">
        <v>105.4</v>
      </c>
      <c r="G75" s="207" t="s">
        <v>1548</v>
      </c>
      <c r="H75" s="210">
        <v>334.8</v>
      </c>
      <c r="I75" s="211" t="s">
        <v>1604</v>
      </c>
      <c r="J75" s="213">
        <v>589.9</v>
      </c>
      <c r="K75" s="214" t="s">
        <v>1637</v>
      </c>
      <c r="L75" s="218">
        <v>836.7</v>
      </c>
      <c r="M75" s="218" t="s">
        <v>1697</v>
      </c>
      <c r="N75" s="270">
        <v>975.8</v>
      </c>
      <c r="O75" s="216" t="s">
        <v>1740</v>
      </c>
      <c r="P75" s="16"/>
      <c r="Q75" s="16"/>
      <c r="R75" s="77"/>
      <c r="S75" s="78"/>
    </row>
    <row r="76" spans="1:20" s="76" customFormat="1" ht="15" x14ac:dyDescent="0.2">
      <c r="A76" s="55" t="s">
        <v>1158</v>
      </c>
      <c r="B76" s="80">
        <v>0</v>
      </c>
      <c r="C76" s="189" t="s">
        <v>880</v>
      </c>
      <c r="D76" s="205">
        <v>6.8</v>
      </c>
      <c r="E76" s="112" t="s">
        <v>201</v>
      </c>
      <c r="F76" s="206">
        <v>145</v>
      </c>
      <c r="G76" s="207" t="s">
        <v>1549</v>
      </c>
      <c r="H76" s="210">
        <v>420.5</v>
      </c>
      <c r="I76" s="211" t="s">
        <v>1605</v>
      </c>
      <c r="J76" s="213">
        <v>713.5</v>
      </c>
      <c r="K76" s="214" t="s">
        <v>1638</v>
      </c>
      <c r="L76" s="218">
        <v>993</v>
      </c>
      <c r="M76" s="218" t="s">
        <v>1696</v>
      </c>
      <c r="N76" s="270">
        <v>1158.7</v>
      </c>
      <c r="O76" s="216" t="s">
        <v>1741</v>
      </c>
      <c r="P76" s="16"/>
      <c r="Q76" s="16"/>
      <c r="R76" s="77"/>
      <c r="S76" s="78"/>
    </row>
    <row r="77" spans="1:20" s="76" customFormat="1" ht="15.75" thickBot="1" x14ac:dyDescent="0.25">
      <c r="A77" s="55" t="s">
        <v>1159</v>
      </c>
      <c r="B77" s="80">
        <v>0</v>
      </c>
      <c r="C77" s="189" t="s">
        <v>880</v>
      </c>
      <c r="D77" s="205">
        <v>3</v>
      </c>
      <c r="E77" s="112" t="s">
        <v>475</v>
      </c>
      <c r="F77" s="206">
        <v>110.6</v>
      </c>
      <c r="G77" s="207" t="s">
        <v>1550</v>
      </c>
      <c r="H77" s="210">
        <v>354</v>
      </c>
      <c r="I77" s="211" t="s">
        <v>1606</v>
      </c>
      <c r="J77" s="213">
        <v>619.1</v>
      </c>
      <c r="K77" s="214" t="s">
        <v>1639</v>
      </c>
      <c r="L77" s="218">
        <v>881.1</v>
      </c>
      <c r="M77" s="218" t="s">
        <v>1695</v>
      </c>
      <c r="N77" s="270">
        <v>1033</v>
      </c>
      <c r="O77" s="216" t="s">
        <v>1742</v>
      </c>
      <c r="P77" s="16"/>
      <c r="Q77" s="16"/>
      <c r="R77" s="77"/>
      <c r="S77" s="78"/>
    </row>
    <row r="78" spans="1:20" s="174" customFormat="1" ht="17.25" thickBot="1" x14ac:dyDescent="0.3">
      <c r="A78" s="167" t="s">
        <v>440</v>
      </c>
      <c r="B78" s="126">
        <f>AVERAGE(B75:B77)</f>
        <v>0</v>
      </c>
      <c r="C78" s="127"/>
      <c r="D78" s="128">
        <f>AVERAGE(D75:D77)</f>
        <v>3.6666666666666665</v>
      </c>
      <c r="E78" s="129"/>
      <c r="F78" s="126">
        <f>AVERAGE(F75:F77)</f>
        <v>120.33333333333333</v>
      </c>
      <c r="G78" s="127"/>
      <c r="H78" s="168">
        <f>AVERAGE(H75:H77)</f>
        <v>369.76666666666665</v>
      </c>
      <c r="I78" s="129"/>
      <c r="J78" s="169">
        <f>AVERAGE(J75:J77)</f>
        <v>640.83333333333337</v>
      </c>
      <c r="K78" s="170"/>
      <c r="L78" s="169">
        <f>AVERAGE(L75:L77)</f>
        <v>903.6</v>
      </c>
      <c r="M78" s="176"/>
      <c r="N78" s="169">
        <f>AVERAGE(N75:N77)</f>
        <v>1055.8333333333333</v>
      </c>
      <c r="O78" s="173"/>
      <c r="P78" s="269" t="e">
        <f>AVERAGE(P75:P77)</f>
        <v>#DIV/0!</v>
      </c>
      <c r="Q78" s="186"/>
      <c r="R78" s="171" t="e">
        <f>AVERAGE(R75:R77)</f>
        <v>#DIV/0!</v>
      </c>
      <c r="S78" s="173"/>
    </row>
    <row r="79" spans="1:20" s="76" customFormat="1" ht="16.5" x14ac:dyDescent="0.2">
      <c r="A79" s="53" t="s">
        <v>1160</v>
      </c>
      <c r="B79" s="136"/>
      <c r="C79" s="137"/>
      <c r="D79" s="138"/>
      <c r="E79" s="138"/>
      <c r="F79" s="136"/>
      <c r="G79" s="137"/>
      <c r="H79" s="138"/>
      <c r="I79" s="138"/>
      <c r="J79" s="136"/>
      <c r="K79" s="137"/>
      <c r="L79" s="136"/>
      <c r="M79" s="138"/>
      <c r="N79" s="155"/>
      <c r="O79" s="137"/>
      <c r="P79" s="138"/>
      <c r="Q79" s="138"/>
      <c r="R79" s="77"/>
      <c r="S79" s="78"/>
    </row>
    <row r="80" spans="1:20" s="76" customFormat="1" ht="15.75" thickBot="1" x14ac:dyDescent="0.25">
      <c r="A80" s="55" t="s">
        <v>1161</v>
      </c>
      <c r="B80" s="80">
        <v>0</v>
      </c>
      <c r="C80" s="189" t="s">
        <v>880</v>
      </c>
      <c r="D80" s="205">
        <v>0</v>
      </c>
      <c r="E80" s="112" t="s">
        <v>880</v>
      </c>
      <c r="F80" s="206">
        <v>71.5</v>
      </c>
      <c r="G80" s="207" t="s">
        <v>1551</v>
      </c>
      <c r="H80" s="210">
        <v>296</v>
      </c>
      <c r="I80" s="211" t="s">
        <v>1607</v>
      </c>
      <c r="J80" s="213">
        <v>568.9</v>
      </c>
      <c r="K80" s="214" t="s">
        <v>1640</v>
      </c>
      <c r="L80" s="218">
        <v>810.4</v>
      </c>
      <c r="M80" s="218" t="s">
        <v>1694</v>
      </c>
      <c r="N80" s="270">
        <v>917.4</v>
      </c>
      <c r="O80" s="216" t="s">
        <v>1743</v>
      </c>
      <c r="P80" s="16"/>
      <c r="Q80" s="16"/>
      <c r="R80" s="77"/>
      <c r="S80" s="78"/>
    </row>
    <row r="81" spans="1:19" s="174" customFormat="1" ht="15.75" thickBot="1" x14ac:dyDescent="0.3">
      <c r="A81" s="167" t="s">
        <v>440</v>
      </c>
      <c r="B81" s="121">
        <f>AVERAGE(B80)</f>
        <v>0</v>
      </c>
      <c r="C81" s="122"/>
      <c r="D81" s="123">
        <f>AVERAGE(D80)</f>
        <v>0</v>
      </c>
      <c r="E81" s="124"/>
      <c r="F81" s="125">
        <f>AVERAGE(F80)</f>
        <v>71.5</v>
      </c>
      <c r="G81" s="173"/>
      <c r="H81" s="168">
        <f>AVERAGE(H79:H80)</f>
        <v>296</v>
      </c>
      <c r="I81" s="172"/>
      <c r="J81" s="169">
        <f>AVERAGE(J80)</f>
        <v>568.9</v>
      </c>
      <c r="K81" s="173"/>
      <c r="L81" s="171">
        <f>AVERAGE(L80)</f>
        <v>810.4</v>
      </c>
      <c r="M81" s="172"/>
      <c r="N81" s="169">
        <f>AVERAGE(N80)</f>
        <v>917.4</v>
      </c>
      <c r="O81" s="173"/>
      <c r="P81" s="268" t="e">
        <f>AVERAGE(P80)</f>
        <v>#DIV/0!</v>
      </c>
      <c r="Q81" s="186"/>
      <c r="R81" s="171" t="e">
        <f>AVERAGE(R80)</f>
        <v>#DIV/0!</v>
      </c>
      <c r="S81" s="173"/>
    </row>
    <row r="82" spans="1:19" s="76" customFormat="1" x14ac:dyDescent="0.2">
      <c r="B82" s="165"/>
      <c r="C82" s="138"/>
      <c r="D82" s="165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</row>
    <row r="83" spans="1:19" s="76" customFormat="1" x14ac:dyDescent="0.2">
      <c r="B83" s="165"/>
      <c r="C83" s="138"/>
      <c r="D83" s="165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</row>
  </sheetData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opLeftCell="G3" workbookViewId="0">
      <selection activeCell="R16" sqref="R16"/>
    </sheetView>
  </sheetViews>
  <sheetFormatPr baseColWidth="10" defaultRowHeight="12.75" x14ac:dyDescent="0.2"/>
  <cols>
    <col min="1" max="1" width="24.85546875" customWidth="1"/>
    <col min="2" max="2" width="12.7109375" style="166" customWidth="1"/>
    <col min="3" max="3" width="12.5703125" style="1" customWidth="1"/>
    <col min="4" max="4" width="11.42578125" style="166" customWidth="1"/>
    <col min="5" max="7" width="11.42578125" style="1" customWidth="1"/>
    <col min="8" max="8" width="11.5703125" style="1" customWidth="1"/>
    <col min="9" max="14" width="11.42578125" style="1" customWidth="1"/>
    <col min="15" max="15" width="14" style="1" customWidth="1"/>
    <col min="16" max="16" width="13" style="1" customWidth="1"/>
    <col min="17" max="17" width="12.85546875" style="1" customWidth="1"/>
    <col min="18" max="20" width="11.42578125" customWidth="1"/>
  </cols>
  <sheetData>
    <row r="1" spans="1:19" ht="23.25" x14ac:dyDescent="0.35">
      <c r="A1" s="2"/>
      <c r="B1" s="144"/>
      <c r="C1" s="11"/>
      <c r="D1" s="144"/>
      <c r="E1" s="11"/>
      <c r="F1" s="11"/>
      <c r="G1" s="11"/>
    </row>
    <row r="2" spans="1:19" x14ac:dyDescent="0.2">
      <c r="A2" s="4"/>
      <c r="B2" s="144"/>
      <c r="C2" s="11"/>
      <c r="D2" s="144"/>
      <c r="E2" s="11"/>
      <c r="F2" s="11"/>
      <c r="G2" s="11"/>
    </row>
    <row r="3" spans="1:19" ht="18" x14ac:dyDescent="0.3">
      <c r="A3" s="5"/>
      <c r="B3" s="145"/>
      <c r="C3" s="12"/>
      <c r="D3" s="145"/>
      <c r="E3" s="12"/>
      <c r="F3" s="12"/>
      <c r="G3" s="12"/>
      <c r="S3" s="139"/>
    </row>
    <row r="4" spans="1:19" x14ac:dyDescent="0.2">
      <c r="A4" s="6"/>
      <c r="B4" s="145"/>
      <c r="C4" s="12"/>
      <c r="D4" s="145"/>
      <c r="E4" s="12"/>
      <c r="F4" s="12"/>
      <c r="G4" s="12"/>
    </row>
    <row r="5" spans="1:19" ht="15" x14ac:dyDescent="0.2">
      <c r="A5" s="7"/>
      <c r="B5" s="146"/>
      <c r="C5" s="13"/>
      <c r="D5" s="146"/>
      <c r="E5" s="13"/>
      <c r="F5" s="13"/>
      <c r="G5" s="13"/>
    </row>
    <row r="6" spans="1:19" ht="15" customHeight="1" x14ac:dyDescent="0.3">
      <c r="A6" s="8"/>
      <c r="B6" s="147"/>
      <c r="C6" s="14"/>
      <c r="D6" s="147"/>
      <c r="E6" s="14"/>
      <c r="F6" s="14"/>
      <c r="G6" s="14"/>
    </row>
    <row r="7" spans="1:19" ht="15" customHeight="1" thickBot="1" x14ac:dyDescent="0.35">
      <c r="A7" s="8"/>
      <c r="B7" s="147"/>
      <c r="C7" s="14"/>
      <c r="D7" s="147"/>
      <c r="E7" s="14"/>
      <c r="F7" s="14"/>
      <c r="G7" s="14"/>
    </row>
    <row r="8" spans="1:19" ht="16.5" x14ac:dyDescent="0.2">
      <c r="A8" s="51" t="s">
        <v>1118</v>
      </c>
      <c r="B8" s="148" t="s">
        <v>1119</v>
      </c>
      <c r="C8" s="29" t="s">
        <v>1119</v>
      </c>
      <c r="D8" s="149" t="s">
        <v>1119</v>
      </c>
      <c r="E8" s="25" t="s">
        <v>1119</v>
      </c>
      <c r="F8" s="28" t="s">
        <v>1119</v>
      </c>
      <c r="G8" s="29" t="s">
        <v>1119</v>
      </c>
      <c r="H8" s="25" t="s">
        <v>1119</v>
      </c>
      <c r="I8" s="25" t="s">
        <v>1119</v>
      </c>
      <c r="J8" s="28" t="s">
        <v>1119</v>
      </c>
      <c r="K8" s="29" t="s">
        <v>1119</v>
      </c>
      <c r="L8" s="28" t="s">
        <v>1119</v>
      </c>
      <c r="M8" s="25" t="s">
        <v>1119</v>
      </c>
      <c r="N8" s="28" t="s">
        <v>1119</v>
      </c>
      <c r="O8" s="29" t="s">
        <v>1119</v>
      </c>
      <c r="P8" s="28" t="s">
        <v>1119</v>
      </c>
      <c r="Q8" s="29" t="s">
        <v>1119</v>
      </c>
      <c r="R8" s="51" t="s">
        <v>1119</v>
      </c>
      <c r="S8" s="52" t="s">
        <v>1119</v>
      </c>
    </row>
    <row r="9" spans="1:19" s="76" customFormat="1" ht="15" customHeight="1" thickBot="1" x14ac:dyDescent="0.25">
      <c r="A9" s="53"/>
      <c r="B9" s="150" t="s">
        <v>1339</v>
      </c>
      <c r="C9" s="141" t="s">
        <v>1339</v>
      </c>
      <c r="D9" s="151" t="s">
        <v>1340</v>
      </c>
      <c r="E9" s="142" t="s">
        <v>1340</v>
      </c>
      <c r="F9" s="140" t="s">
        <v>536</v>
      </c>
      <c r="G9" s="141" t="s">
        <v>536</v>
      </c>
      <c r="H9" s="142" t="s">
        <v>537</v>
      </c>
      <c r="I9" s="142" t="s">
        <v>537</v>
      </c>
      <c r="J9" s="140" t="s">
        <v>538</v>
      </c>
      <c r="K9" s="141" t="s">
        <v>538</v>
      </c>
      <c r="L9" s="67" t="s">
        <v>539</v>
      </c>
      <c r="M9" s="74" t="s">
        <v>539</v>
      </c>
      <c r="N9" s="67" t="s">
        <v>1294</v>
      </c>
      <c r="O9" s="143" t="s">
        <v>1294</v>
      </c>
      <c r="P9" s="67" t="s">
        <v>540</v>
      </c>
      <c r="Q9" s="143" t="s">
        <v>540</v>
      </c>
      <c r="R9" s="194" t="s">
        <v>1337</v>
      </c>
      <c r="S9" s="195" t="s">
        <v>1337</v>
      </c>
    </row>
    <row r="10" spans="1:19" s="76" customFormat="1" ht="16.5" customHeight="1" x14ac:dyDescent="0.2">
      <c r="A10" s="51" t="s">
        <v>1120</v>
      </c>
      <c r="B10" s="148"/>
      <c r="C10" s="29"/>
      <c r="D10" s="149"/>
      <c r="E10" s="25"/>
      <c r="F10" s="28"/>
      <c r="G10" s="29"/>
      <c r="H10" s="152" t="s">
        <v>1338</v>
      </c>
      <c r="I10" s="152"/>
      <c r="J10" s="153"/>
      <c r="K10" s="101"/>
      <c r="L10" s="136"/>
      <c r="M10" s="138"/>
      <c r="N10" s="136"/>
      <c r="O10" s="137"/>
      <c r="P10" s="138"/>
      <c r="Q10" s="138"/>
      <c r="R10" s="77"/>
      <c r="S10" s="78"/>
    </row>
    <row r="11" spans="1:19" s="76" customFormat="1" ht="15.75" thickBot="1" x14ac:dyDescent="0.25">
      <c r="A11" s="55" t="s">
        <v>1121</v>
      </c>
      <c r="B11" s="80">
        <v>13</v>
      </c>
      <c r="C11" s="189">
        <v>13</v>
      </c>
      <c r="D11" s="79"/>
      <c r="E11" s="22"/>
      <c r="F11" s="21"/>
      <c r="G11" s="23"/>
      <c r="H11" s="138"/>
      <c r="I11" s="22"/>
      <c r="J11" s="136"/>
      <c r="K11" s="23"/>
      <c r="L11" s="21"/>
      <c r="M11" s="22"/>
      <c r="N11" s="154"/>
      <c r="O11" s="23"/>
      <c r="P11" s="16"/>
      <c r="Q11" s="16"/>
      <c r="R11" s="77"/>
      <c r="S11" s="78"/>
    </row>
    <row r="12" spans="1:19" s="174" customFormat="1" ht="17.25" thickBot="1" x14ac:dyDescent="0.3">
      <c r="A12" s="167" t="s">
        <v>440</v>
      </c>
      <c r="B12" s="126">
        <f>AVERAGE(B11)</f>
        <v>13</v>
      </c>
      <c r="C12" s="127"/>
      <c r="D12" s="128" t="e">
        <f>AVERAGE(D11)</f>
        <v>#DIV/0!</v>
      </c>
      <c r="E12" s="129"/>
      <c r="F12" s="130" t="e">
        <f>AVERAGE(F11)</f>
        <v>#DIV/0!</v>
      </c>
      <c r="G12" s="127"/>
      <c r="H12" s="168" t="e">
        <f>AVERAGE(H10:H11)</f>
        <v>#DIV/0!</v>
      </c>
      <c r="I12" s="129"/>
      <c r="J12" s="169" t="e">
        <f>AVERAGE(J11)</f>
        <v>#DIV/0!</v>
      </c>
      <c r="K12" s="170"/>
      <c r="L12" s="171" t="e">
        <f>AVERAGE(L11)</f>
        <v>#DIV/0!</v>
      </c>
      <c r="M12" s="172"/>
      <c r="N12" s="169" t="e">
        <f>AVERAGE(N11)</f>
        <v>#DIV/0!</v>
      </c>
      <c r="O12" s="173"/>
      <c r="P12" s="187" t="e">
        <f>AVERAGE(P11)</f>
        <v>#DIV/0!</v>
      </c>
      <c r="Q12" s="186"/>
      <c r="R12" s="171" t="e">
        <f>AVERAGE(R10:R11)</f>
        <v>#DIV/0!</v>
      </c>
      <c r="S12" s="173"/>
    </row>
    <row r="13" spans="1:19" s="76" customFormat="1" ht="16.5" x14ac:dyDescent="0.2">
      <c r="A13" s="51" t="s">
        <v>1123</v>
      </c>
      <c r="B13" s="136"/>
      <c r="C13" s="137"/>
      <c r="D13" s="138"/>
      <c r="E13" s="138"/>
      <c r="F13" s="136"/>
      <c r="G13" s="137"/>
      <c r="H13" s="138"/>
      <c r="I13" s="138"/>
      <c r="J13" s="136"/>
      <c r="K13" s="137"/>
      <c r="L13" s="136"/>
      <c r="M13" s="138"/>
      <c r="N13" s="155"/>
      <c r="O13" s="137"/>
      <c r="P13" s="138"/>
      <c r="Q13" s="138"/>
      <c r="R13" s="77"/>
      <c r="S13" s="78"/>
    </row>
    <row r="14" spans="1:19" s="76" customFormat="1" ht="15" x14ac:dyDescent="0.2">
      <c r="A14" s="55" t="s">
        <v>1124</v>
      </c>
      <c r="B14" s="80"/>
      <c r="C14" s="189"/>
      <c r="D14" s="79"/>
      <c r="E14" s="22"/>
      <c r="F14" s="21"/>
      <c r="G14" s="23"/>
      <c r="H14" s="138"/>
      <c r="I14" s="22"/>
      <c r="J14" s="136"/>
      <c r="K14" s="23"/>
      <c r="L14" s="21"/>
      <c r="M14" s="22"/>
      <c r="N14" s="154"/>
      <c r="O14" s="23"/>
      <c r="P14" s="16"/>
      <c r="Q14" s="16"/>
      <c r="R14" s="77"/>
      <c r="S14" s="78"/>
    </row>
    <row r="15" spans="1:19" s="76" customFormat="1" ht="15" x14ac:dyDescent="0.2">
      <c r="A15" s="55" t="s">
        <v>1125</v>
      </c>
      <c r="B15" s="80"/>
      <c r="C15" s="189"/>
      <c r="D15" s="79"/>
      <c r="E15" s="22"/>
      <c r="F15" s="21"/>
      <c r="G15" s="23"/>
      <c r="H15" s="57"/>
      <c r="I15" s="22"/>
      <c r="J15" s="136"/>
      <c r="K15" s="23"/>
      <c r="L15" s="21"/>
      <c r="M15" s="22"/>
      <c r="N15" s="154"/>
      <c r="O15" s="23"/>
      <c r="P15" s="16"/>
      <c r="Q15" s="16"/>
      <c r="R15" s="77"/>
      <c r="S15" s="78"/>
    </row>
    <row r="16" spans="1:19" s="76" customFormat="1" ht="15.75" thickBot="1" x14ac:dyDescent="0.25">
      <c r="A16" s="55" t="s">
        <v>902</v>
      </c>
      <c r="B16" s="80">
        <v>12</v>
      </c>
      <c r="C16" s="189">
        <v>12</v>
      </c>
      <c r="D16" s="79"/>
      <c r="E16" s="22"/>
      <c r="F16" s="21"/>
      <c r="G16" s="23"/>
      <c r="H16" s="57"/>
      <c r="I16" s="22"/>
      <c r="J16" s="136"/>
      <c r="K16" s="23"/>
      <c r="L16" s="21"/>
      <c r="M16" s="22"/>
      <c r="N16" s="154"/>
      <c r="O16" s="23"/>
      <c r="P16" s="16"/>
      <c r="Q16" s="16"/>
      <c r="R16" s="77"/>
      <c r="S16" s="78"/>
    </row>
    <row r="17" spans="1:19" s="174" customFormat="1" ht="17.25" thickBot="1" x14ac:dyDescent="0.3">
      <c r="A17" s="167" t="s">
        <v>440</v>
      </c>
      <c r="B17" s="126">
        <f>AVERAGE(B14:B16)</f>
        <v>12</v>
      </c>
      <c r="C17" s="127"/>
      <c r="D17" s="128" t="e">
        <f>AVERAGE(D14:D16)</f>
        <v>#DIV/0!</v>
      </c>
      <c r="E17" s="129"/>
      <c r="F17" s="130" t="e">
        <f>AVERAGE(F14:F16)</f>
        <v>#DIV/0!</v>
      </c>
      <c r="G17" s="127"/>
      <c r="H17" s="175" t="e">
        <f>AVERAGE(H14:H16)</f>
        <v>#DIV/0!</v>
      </c>
      <c r="I17" s="129"/>
      <c r="J17" s="169" t="e">
        <f>AVERAGE(J14:J16)</f>
        <v>#DIV/0!</v>
      </c>
      <c r="K17" s="170"/>
      <c r="L17" s="169" t="e">
        <f>AVERAGE(L14:L16)</f>
        <v>#DIV/0!</v>
      </c>
      <c r="M17" s="172"/>
      <c r="N17" s="169" t="e">
        <f>AVERAGE(N14:N16)</f>
        <v>#DIV/0!</v>
      </c>
      <c r="O17" s="173"/>
      <c r="P17" s="187" t="e">
        <f>AVERAGE(P14:P16)</f>
        <v>#DIV/0!</v>
      </c>
      <c r="Q17" s="186"/>
      <c r="R17" s="171" t="e">
        <f>AVERAGE(R13:R16)</f>
        <v>#DIV/0!</v>
      </c>
      <c r="S17" s="173"/>
    </row>
    <row r="18" spans="1:19" s="76" customFormat="1" ht="16.5" x14ac:dyDescent="0.2">
      <c r="A18" s="51" t="s">
        <v>1126</v>
      </c>
      <c r="B18" s="136"/>
      <c r="C18" s="137"/>
      <c r="D18" s="138"/>
      <c r="E18" s="138"/>
      <c r="F18" s="136"/>
      <c r="G18" s="137"/>
      <c r="H18" s="138"/>
      <c r="I18" s="138"/>
      <c r="J18" s="136"/>
      <c r="K18" s="137"/>
      <c r="L18" s="136"/>
      <c r="M18" s="138"/>
      <c r="N18" s="155"/>
      <c r="O18" s="137"/>
      <c r="P18" s="138"/>
      <c r="Q18" s="138"/>
      <c r="R18" s="77"/>
      <c r="S18" s="78"/>
    </row>
    <row r="19" spans="1:19" s="76" customFormat="1" ht="15" x14ac:dyDescent="0.2">
      <c r="A19" s="55" t="s">
        <v>1127</v>
      </c>
      <c r="B19" s="80"/>
      <c r="C19" s="189"/>
      <c r="D19" s="79"/>
      <c r="E19" s="22"/>
      <c r="F19" s="21"/>
      <c r="G19" s="23"/>
      <c r="H19" s="57"/>
      <c r="I19" s="22"/>
      <c r="J19" s="136"/>
      <c r="K19" s="23"/>
      <c r="L19" s="21"/>
      <c r="M19" s="22"/>
      <c r="N19" s="154"/>
      <c r="O19" s="23"/>
      <c r="P19" s="16"/>
      <c r="Q19" s="16"/>
      <c r="R19" s="77"/>
      <c r="S19" s="78"/>
    </row>
    <row r="20" spans="1:19" s="76" customFormat="1" ht="15.75" thickBot="1" x14ac:dyDescent="0.25">
      <c r="A20" s="55" t="s">
        <v>1128</v>
      </c>
      <c r="B20" s="80">
        <v>11</v>
      </c>
      <c r="C20" s="189">
        <v>11</v>
      </c>
      <c r="D20" s="79"/>
      <c r="E20" s="22"/>
      <c r="F20" s="21"/>
      <c r="G20" s="23"/>
      <c r="H20" s="57"/>
      <c r="I20" s="22"/>
      <c r="J20" s="136"/>
      <c r="K20" s="23"/>
      <c r="L20" s="21"/>
      <c r="M20" s="22"/>
      <c r="N20" s="154"/>
      <c r="O20" s="23"/>
      <c r="P20" s="16"/>
      <c r="Q20" s="16"/>
      <c r="R20" s="77"/>
      <c r="S20" s="78"/>
    </row>
    <row r="21" spans="1:19" s="174" customFormat="1" ht="17.25" thickBot="1" x14ac:dyDescent="0.3">
      <c r="A21" s="167" t="s">
        <v>440</v>
      </c>
      <c r="B21" s="126">
        <f>AVERAGE(B19:B20)</f>
        <v>11</v>
      </c>
      <c r="C21" s="127"/>
      <c r="D21" s="128" t="e">
        <f>AVERAGE(D19:D20)</f>
        <v>#DIV/0!</v>
      </c>
      <c r="E21" s="129"/>
      <c r="F21" s="130" t="e">
        <f>AVERAGE(F19:F20)</f>
        <v>#DIV/0!</v>
      </c>
      <c r="G21" s="127"/>
      <c r="H21" s="168" t="e">
        <f>AVERAGE(H19:H20)</f>
        <v>#DIV/0!</v>
      </c>
      <c r="I21" s="129"/>
      <c r="J21" s="169" t="e">
        <f>AVERAGE(J19:J20)</f>
        <v>#DIV/0!</v>
      </c>
      <c r="K21" s="170"/>
      <c r="L21" s="169" t="e">
        <f>AVERAGE(L19:L20)</f>
        <v>#DIV/0!</v>
      </c>
      <c r="M21" s="176"/>
      <c r="N21" s="169" t="e">
        <f>AVERAGE(N19:N20)</f>
        <v>#DIV/0!</v>
      </c>
      <c r="O21" s="173"/>
      <c r="P21" s="187" t="e">
        <f>AVERAGE(P19:P20)</f>
        <v>#DIV/0!</v>
      </c>
      <c r="Q21" s="186"/>
      <c r="R21" s="171" t="e">
        <f>AVERAGE(R19:R20)</f>
        <v>#DIV/0!</v>
      </c>
      <c r="S21" s="173"/>
    </row>
    <row r="22" spans="1:19" s="76" customFormat="1" ht="16.5" x14ac:dyDescent="0.2">
      <c r="A22" s="51" t="s">
        <v>1129</v>
      </c>
      <c r="B22" s="136"/>
      <c r="C22" s="137"/>
      <c r="D22" s="138"/>
      <c r="E22" s="138"/>
      <c r="F22" s="136"/>
      <c r="G22" s="137"/>
      <c r="H22" s="138"/>
      <c r="I22" s="138"/>
      <c r="J22" s="136"/>
      <c r="K22" s="137"/>
      <c r="L22" s="136"/>
      <c r="M22" s="138"/>
      <c r="N22" s="155"/>
      <c r="O22" s="137"/>
      <c r="P22" s="138"/>
      <c r="Q22" s="138"/>
      <c r="R22" s="77"/>
      <c r="S22" s="78"/>
    </row>
    <row r="23" spans="1:19" s="76" customFormat="1" ht="15" x14ac:dyDescent="0.2">
      <c r="A23" s="55" t="s">
        <v>1130</v>
      </c>
      <c r="B23" s="80"/>
      <c r="C23" s="189"/>
      <c r="D23" s="79"/>
      <c r="E23" s="22"/>
      <c r="F23" s="21"/>
      <c r="G23" s="23"/>
      <c r="H23" s="156"/>
      <c r="I23" s="22"/>
      <c r="J23" s="136"/>
      <c r="K23" s="23"/>
      <c r="L23" s="21"/>
      <c r="M23" s="22"/>
      <c r="N23" s="154"/>
      <c r="O23" s="23"/>
      <c r="P23" s="16"/>
      <c r="Q23" s="16"/>
      <c r="R23" s="77"/>
      <c r="S23" s="78"/>
    </row>
    <row r="24" spans="1:19" s="76" customFormat="1" ht="15.75" thickBot="1" x14ac:dyDescent="0.25">
      <c r="A24" s="55" t="s">
        <v>1131</v>
      </c>
      <c r="B24" s="80">
        <v>9</v>
      </c>
      <c r="C24" s="189">
        <v>9</v>
      </c>
      <c r="D24" s="79"/>
      <c r="E24" s="22"/>
      <c r="F24" s="21"/>
      <c r="G24" s="23"/>
      <c r="H24" s="57"/>
      <c r="I24" s="22"/>
      <c r="J24" s="136"/>
      <c r="K24" s="23"/>
      <c r="L24" s="21"/>
      <c r="M24" s="22"/>
      <c r="N24" s="154"/>
      <c r="O24" s="23"/>
      <c r="P24" s="16"/>
      <c r="Q24" s="16"/>
      <c r="R24" s="77"/>
      <c r="S24" s="78"/>
    </row>
    <row r="25" spans="1:19" s="174" customFormat="1" ht="17.25" thickBot="1" x14ac:dyDescent="0.3">
      <c r="A25" s="167" t="s">
        <v>440</v>
      </c>
      <c r="B25" s="126">
        <f>AVERAGE(B23:B24)</f>
        <v>9</v>
      </c>
      <c r="C25" s="127"/>
      <c r="D25" s="128" t="e">
        <f>AVERAGE(D23:D24)</f>
        <v>#DIV/0!</v>
      </c>
      <c r="E25" s="129"/>
      <c r="F25" s="130" t="e">
        <f>AVERAGE(F23:F24)</f>
        <v>#DIV/0!</v>
      </c>
      <c r="G25" s="127"/>
      <c r="H25" s="175" t="e">
        <f>AVERAGE(H23:H24)</f>
        <v>#DIV/0!</v>
      </c>
      <c r="I25" s="129"/>
      <c r="J25" s="169" t="e">
        <f>AVERAGE(J23:J24)</f>
        <v>#DIV/0!</v>
      </c>
      <c r="K25" s="170"/>
      <c r="L25" s="169" t="e">
        <f>AVERAGE(L23:L24)</f>
        <v>#DIV/0!</v>
      </c>
      <c r="M25" s="176"/>
      <c r="N25" s="169" t="e">
        <f>AVERAGE(N23:N24)</f>
        <v>#DIV/0!</v>
      </c>
      <c r="O25" s="173"/>
      <c r="P25" s="187" t="e">
        <f>AVERAGE(P23:P24)</f>
        <v>#DIV/0!</v>
      </c>
      <c r="Q25" s="186"/>
      <c r="R25" s="171" t="e">
        <f>AVERAGE(R23:R24)</f>
        <v>#DIV/0!</v>
      </c>
      <c r="S25" s="173"/>
    </row>
    <row r="26" spans="1:19" s="76" customFormat="1" ht="16.5" x14ac:dyDescent="0.2">
      <c r="A26" s="51" t="s">
        <v>1132</v>
      </c>
      <c r="B26" s="136"/>
      <c r="C26" s="137"/>
      <c r="D26" s="138"/>
      <c r="E26" s="138"/>
      <c r="F26" s="136"/>
      <c r="G26" s="137"/>
      <c r="H26" s="138"/>
      <c r="I26" s="138"/>
      <c r="J26" s="136"/>
      <c r="K26" s="137"/>
      <c r="L26" s="136"/>
      <c r="M26" s="138"/>
      <c r="N26" s="155"/>
      <c r="O26" s="137"/>
      <c r="P26" s="138"/>
      <c r="Q26" s="138"/>
      <c r="R26" s="77"/>
      <c r="S26" s="78"/>
    </row>
    <row r="27" spans="1:19" s="76" customFormat="1" ht="15" x14ac:dyDescent="0.2">
      <c r="A27" s="55" t="s">
        <v>1133</v>
      </c>
      <c r="B27" s="80"/>
      <c r="C27" s="189"/>
      <c r="D27" s="79"/>
      <c r="E27" s="22"/>
      <c r="F27" s="21"/>
      <c r="G27" s="23"/>
      <c r="H27" s="138"/>
      <c r="I27" s="22"/>
      <c r="J27" s="136"/>
      <c r="K27" s="23"/>
      <c r="L27" s="21"/>
      <c r="M27" s="22"/>
      <c r="N27" s="154"/>
      <c r="O27" s="23"/>
      <c r="P27" s="16"/>
      <c r="Q27" s="16"/>
      <c r="R27" s="77"/>
      <c r="S27" s="78"/>
    </row>
    <row r="28" spans="1:19" s="76" customFormat="1" ht="15" x14ac:dyDescent="0.2">
      <c r="A28" s="55" t="s">
        <v>1134</v>
      </c>
      <c r="B28" s="80"/>
      <c r="C28" s="189"/>
      <c r="D28" s="79"/>
      <c r="E28" s="22"/>
      <c r="F28" s="21"/>
      <c r="G28" s="23"/>
      <c r="H28" s="138"/>
      <c r="I28" s="22"/>
      <c r="J28" s="136"/>
      <c r="K28" s="23"/>
      <c r="L28" s="21"/>
      <c r="M28" s="22"/>
      <c r="N28" s="154"/>
      <c r="O28" s="23"/>
      <c r="P28" s="16"/>
      <c r="Q28" s="16"/>
      <c r="R28" s="77"/>
      <c r="S28" s="78"/>
    </row>
    <row r="29" spans="1:19" s="76" customFormat="1" ht="15.75" thickBot="1" x14ac:dyDescent="0.25">
      <c r="A29" s="55" t="s">
        <v>1135</v>
      </c>
      <c r="B29" s="80">
        <v>8</v>
      </c>
      <c r="C29" s="189">
        <v>8</v>
      </c>
      <c r="D29" s="79"/>
      <c r="E29" s="22"/>
      <c r="F29" s="21"/>
      <c r="G29" s="23"/>
      <c r="H29" s="57"/>
      <c r="I29" s="22"/>
      <c r="J29" s="136"/>
      <c r="K29" s="23"/>
      <c r="L29" s="21"/>
      <c r="M29" s="22"/>
      <c r="N29" s="154"/>
      <c r="O29" s="23"/>
      <c r="P29" s="16"/>
      <c r="Q29" s="16"/>
      <c r="R29" s="77"/>
      <c r="S29" s="78"/>
    </row>
    <row r="30" spans="1:19" s="174" customFormat="1" ht="17.25" thickBot="1" x14ac:dyDescent="0.3">
      <c r="A30" s="167" t="s">
        <v>440</v>
      </c>
      <c r="B30" s="126">
        <f>AVERAGE(B27:B29)</f>
        <v>8</v>
      </c>
      <c r="C30" s="127"/>
      <c r="D30" s="128" t="e">
        <f>AVERAGE(D27:D29)</f>
        <v>#DIV/0!</v>
      </c>
      <c r="E30" s="129"/>
      <c r="F30" s="130" t="e">
        <f>AVERAGE(F27:F29)</f>
        <v>#DIV/0!</v>
      </c>
      <c r="G30" s="127"/>
      <c r="H30" s="175" t="e">
        <f>AVERAGE(H27:H29)</f>
        <v>#DIV/0!</v>
      </c>
      <c r="I30" s="129"/>
      <c r="J30" s="169" t="e">
        <f>AVERAGE(J27:J29)</f>
        <v>#DIV/0!</v>
      </c>
      <c r="K30" s="173"/>
      <c r="L30" s="169" t="e">
        <f>AVERAGE(L27:L29)</f>
        <v>#DIV/0!</v>
      </c>
      <c r="M30" s="176"/>
      <c r="N30" s="169" t="e">
        <f>AVERAGE(N27:N29)</f>
        <v>#DIV/0!</v>
      </c>
      <c r="O30" s="173"/>
      <c r="P30" s="188" t="e">
        <f>AVERAGE(P27:P29)</f>
        <v>#DIV/0!</v>
      </c>
      <c r="Q30" s="186"/>
      <c r="R30" s="171" t="e">
        <f>AVERAGE(R27:R29)</f>
        <v>#DIV/0!</v>
      </c>
      <c r="S30" s="173"/>
    </row>
    <row r="31" spans="1:19" s="76" customFormat="1" ht="16.5" x14ac:dyDescent="0.2">
      <c r="A31" s="51" t="s">
        <v>1136</v>
      </c>
      <c r="B31" s="136"/>
      <c r="C31" s="137"/>
      <c r="D31" s="138"/>
      <c r="E31" s="138"/>
      <c r="F31" s="136"/>
      <c r="G31" s="137"/>
      <c r="H31" s="138"/>
      <c r="I31" s="138"/>
      <c r="J31" s="136"/>
      <c r="K31" s="137"/>
      <c r="L31" s="136"/>
      <c r="M31" s="138"/>
      <c r="N31" s="155"/>
      <c r="O31" s="137"/>
      <c r="P31" s="138"/>
      <c r="Q31" s="138"/>
      <c r="R31" s="77"/>
      <c r="S31" s="78"/>
    </row>
    <row r="32" spans="1:19" s="76" customFormat="1" ht="15" x14ac:dyDescent="0.2">
      <c r="A32" s="55" t="s">
        <v>1137</v>
      </c>
      <c r="B32" s="80"/>
      <c r="C32" s="189"/>
      <c r="D32" s="79"/>
      <c r="E32" s="22"/>
      <c r="F32" s="21"/>
      <c r="G32" s="23"/>
      <c r="H32" s="57"/>
      <c r="I32" s="22"/>
      <c r="J32" s="136"/>
      <c r="K32" s="23"/>
      <c r="L32" s="21"/>
      <c r="M32" s="22"/>
      <c r="N32" s="154"/>
      <c r="O32" s="23"/>
      <c r="P32" s="16"/>
      <c r="Q32" s="16"/>
      <c r="R32" s="77"/>
      <c r="S32" s="78"/>
    </row>
    <row r="33" spans="1:19" s="76" customFormat="1" ht="15.75" thickBot="1" x14ac:dyDescent="0.25">
      <c r="A33" s="55" t="s">
        <v>1138</v>
      </c>
      <c r="B33" s="80">
        <v>7</v>
      </c>
      <c r="C33" s="189">
        <v>7</v>
      </c>
      <c r="D33" s="79"/>
      <c r="E33" s="22"/>
      <c r="F33" s="21"/>
      <c r="G33" s="23"/>
      <c r="H33" s="57"/>
      <c r="I33" s="22"/>
      <c r="J33" s="136"/>
      <c r="K33" s="23"/>
      <c r="L33" s="21"/>
      <c r="M33" s="22"/>
      <c r="N33" s="154"/>
      <c r="O33" s="23"/>
      <c r="P33" s="16"/>
      <c r="Q33" s="16"/>
      <c r="R33" s="77"/>
      <c r="S33" s="78"/>
    </row>
    <row r="34" spans="1:19" s="174" customFormat="1" ht="17.25" thickBot="1" x14ac:dyDescent="0.3">
      <c r="A34" s="167" t="s">
        <v>440</v>
      </c>
      <c r="B34" s="126">
        <f>AVERAGE(B32:B33)</f>
        <v>7</v>
      </c>
      <c r="C34" s="127"/>
      <c r="D34" s="128" t="e">
        <f>AVERAGE(D32:D33)</f>
        <v>#DIV/0!</v>
      </c>
      <c r="E34" s="129"/>
      <c r="F34" s="130" t="e">
        <f>AVERAGE(F32:F33)</f>
        <v>#DIV/0!</v>
      </c>
      <c r="G34" s="127"/>
      <c r="H34" s="168" t="e">
        <f>AVERAGE(H32:H33)</f>
        <v>#DIV/0!</v>
      </c>
      <c r="I34" s="129"/>
      <c r="J34" s="169" t="e">
        <f>AVERAGE(J32:J33)</f>
        <v>#DIV/0!</v>
      </c>
      <c r="K34" s="170"/>
      <c r="L34" s="171" t="e">
        <f>AVERAGE(L32:L33)</f>
        <v>#DIV/0!</v>
      </c>
      <c r="M34" s="172"/>
      <c r="N34" s="169" t="e">
        <f>AVERAGE(N32:N33)</f>
        <v>#DIV/0!</v>
      </c>
      <c r="O34" s="173"/>
      <c r="P34" s="187" t="e">
        <f>AVERAGE(P32:P33)</f>
        <v>#DIV/0!</v>
      </c>
      <c r="Q34" s="186"/>
      <c r="R34" s="171" t="e">
        <f>AVERAGE(R32:R33)</f>
        <v>#DIV/0!</v>
      </c>
      <c r="S34" s="173"/>
    </row>
    <row r="35" spans="1:19" s="76" customFormat="1" ht="16.5" x14ac:dyDescent="0.2">
      <c r="A35" s="51" t="s">
        <v>1139</v>
      </c>
      <c r="B35" s="136"/>
      <c r="C35" s="137"/>
      <c r="D35" s="138"/>
      <c r="E35" s="138"/>
      <c r="F35" s="136"/>
      <c r="G35" s="137"/>
      <c r="H35" s="138"/>
      <c r="I35" s="138"/>
      <c r="J35" s="136"/>
      <c r="K35" s="137"/>
      <c r="L35" s="136"/>
      <c r="M35" s="138"/>
      <c r="N35" s="155"/>
      <c r="O35" s="137"/>
      <c r="P35" s="138"/>
      <c r="Q35" s="138"/>
      <c r="R35" s="77"/>
      <c r="S35" s="78"/>
    </row>
    <row r="36" spans="1:19" s="76" customFormat="1" ht="15" x14ac:dyDescent="0.2">
      <c r="A36" s="55" t="s">
        <v>1140</v>
      </c>
      <c r="B36" s="80"/>
      <c r="C36" s="189"/>
      <c r="D36" s="79"/>
      <c r="E36" s="22"/>
      <c r="F36" s="21"/>
      <c r="G36" s="23"/>
      <c r="H36" s="57"/>
      <c r="I36" s="22"/>
      <c r="J36" s="136"/>
      <c r="K36" s="23"/>
      <c r="L36" s="21"/>
      <c r="M36" s="22"/>
      <c r="N36" s="154"/>
      <c r="O36" s="23"/>
      <c r="P36" s="16"/>
      <c r="Q36" s="16"/>
      <c r="R36" s="77"/>
      <c r="S36" s="78"/>
    </row>
    <row r="37" spans="1:19" s="76" customFormat="1" ht="15" x14ac:dyDescent="0.2">
      <c r="A37" s="55" t="s">
        <v>1141</v>
      </c>
      <c r="B37" s="80"/>
      <c r="C37" s="189"/>
      <c r="D37" s="79"/>
      <c r="E37" s="22"/>
      <c r="F37" s="21"/>
      <c r="G37" s="23"/>
      <c r="H37" s="57"/>
      <c r="I37" s="22"/>
      <c r="J37" s="136"/>
      <c r="K37" s="23"/>
      <c r="L37" s="21"/>
      <c r="M37" s="22"/>
      <c r="N37" s="154"/>
      <c r="O37" s="23"/>
      <c r="P37" s="16"/>
      <c r="Q37" s="16"/>
      <c r="R37" s="77"/>
      <c r="S37" s="78"/>
    </row>
    <row r="38" spans="1:19" s="76" customFormat="1" ht="15.75" thickBot="1" x14ac:dyDescent="0.25">
      <c r="A38" s="55" t="s">
        <v>1142</v>
      </c>
      <c r="B38" s="80">
        <v>6</v>
      </c>
      <c r="C38" s="189">
        <v>6</v>
      </c>
      <c r="D38" s="79"/>
      <c r="E38" s="22"/>
      <c r="F38" s="21"/>
      <c r="G38" s="23"/>
      <c r="H38" s="57"/>
      <c r="I38" s="22"/>
      <c r="J38" s="136"/>
      <c r="K38" s="23"/>
      <c r="L38" s="21"/>
      <c r="M38" s="22"/>
      <c r="N38" s="154"/>
      <c r="O38" s="23"/>
      <c r="P38" s="16"/>
      <c r="Q38" s="16"/>
      <c r="R38" s="77"/>
      <c r="S38" s="78"/>
    </row>
    <row r="39" spans="1:19" s="174" customFormat="1" ht="17.25" thickBot="1" x14ac:dyDescent="0.3">
      <c r="A39" s="167" t="s">
        <v>440</v>
      </c>
      <c r="B39" s="126">
        <f>AVERAGE(B36:B38)</f>
        <v>6</v>
      </c>
      <c r="C39" s="127"/>
      <c r="D39" s="128" t="e">
        <f>AVERAGE(D36:D38)</f>
        <v>#DIV/0!</v>
      </c>
      <c r="E39" s="129"/>
      <c r="F39" s="130" t="e">
        <f>AVERAGE(F36:F38)</f>
        <v>#DIV/0!</v>
      </c>
      <c r="G39" s="127"/>
      <c r="H39" s="175" t="e">
        <f>AVERAGE(H36:H38)</f>
        <v>#DIV/0!</v>
      </c>
      <c r="I39" s="129"/>
      <c r="J39" s="169" t="e">
        <f>AVERAGE(J36:J38)</f>
        <v>#DIV/0!</v>
      </c>
      <c r="K39" s="170"/>
      <c r="L39" s="171" t="e">
        <f>AVERAGE(L36:L38)</f>
        <v>#DIV/0!</v>
      </c>
      <c r="M39" s="172"/>
      <c r="N39" s="169" t="e">
        <f>AVERAGE(N36:N38)</f>
        <v>#DIV/0!</v>
      </c>
      <c r="O39" s="173"/>
      <c r="P39" s="188" t="e">
        <f>AVERAGE(P36:P38)</f>
        <v>#DIV/0!</v>
      </c>
      <c r="Q39" s="186"/>
      <c r="R39" s="171" t="e">
        <f>AVERAGE(R36:R38)</f>
        <v>#DIV/0!</v>
      </c>
      <c r="S39" s="173"/>
    </row>
    <row r="40" spans="1:19" s="76" customFormat="1" ht="16.5" x14ac:dyDescent="0.2">
      <c r="A40" s="53" t="s">
        <v>1341</v>
      </c>
      <c r="B40" s="136"/>
      <c r="C40" s="137"/>
      <c r="D40" s="138"/>
      <c r="E40" s="138"/>
      <c r="F40" s="136"/>
      <c r="G40" s="137"/>
      <c r="H40" s="138"/>
      <c r="I40" s="138"/>
      <c r="J40" s="136"/>
      <c r="K40" s="137"/>
      <c r="L40" s="136"/>
      <c r="M40" s="138"/>
      <c r="N40" s="155"/>
      <c r="O40" s="137"/>
      <c r="P40" s="138"/>
      <c r="Q40" s="138"/>
      <c r="R40" s="77"/>
      <c r="S40" s="78"/>
    </row>
    <row r="41" spans="1:19" s="76" customFormat="1" ht="15" x14ac:dyDescent="0.2">
      <c r="A41" s="10" t="s">
        <v>1342</v>
      </c>
      <c r="B41" s="154"/>
      <c r="C41" s="190"/>
      <c r="D41" s="158"/>
      <c r="E41" s="159"/>
      <c r="F41" s="160"/>
      <c r="G41" s="23"/>
      <c r="H41" s="161"/>
      <c r="I41" s="22"/>
      <c r="J41" s="136"/>
      <c r="K41" s="23"/>
      <c r="L41" s="21"/>
      <c r="M41" s="22"/>
      <c r="N41" s="154"/>
      <c r="O41" s="23"/>
      <c r="P41" s="16"/>
      <c r="Q41" s="16"/>
      <c r="R41" s="77"/>
      <c r="S41" s="78"/>
    </row>
    <row r="42" spans="1:19" s="76" customFormat="1" ht="15" x14ac:dyDescent="0.2">
      <c r="A42" s="10" t="s">
        <v>1343</v>
      </c>
      <c r="B42" s="154"/>
      <c r="C42" s="190"/>
      <c r="D42" s="158"/>
      <c r="E42" s="162"/>
      <c r="F42" s="160"/>
      <c r="G42" s="23"/>
      <c r="H42" s="161"/>
      <c r="I42" s="16"/>
      <c r="J42" s="136"/>
      <c r="K42" s="23"/>
      <c r="L42" s="21"/>
      <c r="M42" s="22"/>
      <c r="N42" s="154"/>
      <c r="O42" s="23"/>
      <c r="P42" s="16"/>
      <c r="Q42" s="16"/>
      <c r="R42" s="77"/>
      <c r="S42" s="78"/>
    </row>
    <row r="43" spans="1:19" s="76" customFormat="1" ht="15" x14ac:dyDescent="0.2">
      <c r="A43" s="10"/>
      <c r="B43" s="154"/>
      <c r="C43" s="190"/>
      <c r="D43" s="158"/>
      <c r="E43" s="162"/>
      <c r="F43" s="160"/>
      <c r="G43" s="23"/>
      <c r="H43" s="161"/>
      <c r="I43" s="16"/>
      <c r="J43" s="136"/>
      <c r="K43" s="23"/>
      <c r="L43" s="21"/>
      <c r="M43" s="22"/>
      <c r="N43" s="154"/>
      <c r="O43" s="23"/>
      <c r="P43" s="16"/>
      <c r="Q43" s="16"/>
      <c r="R43" s="77"/>
      <c r="S43" s="78"/>
    </row>
    <row r="44" spans="1:19" s="76" customFormat="1" ht="15" x14ac:dyDescent="0.2">
      <c r="A44" s="10" t="s">
        <v>1344</v>
      </c>
      <c r="B44" s="154"/>
      <c r="C44" s="190"/>
      <c r="D44" s="158"/>
      <c r="E44" s="162"/>
      <c r="F44" s="160"/>
      <c r="G44" s="23"/>
      <c r="H44" s="161"/>
      <c r="I44" s="16"/>
      <c r="J44" s="136"/>
      <c r="K44" s="23"/>
      <c r="L44" s="21"/>
      <c r="M44" s="22"/>
      <c r="N44" s="154"/>
      <c r="O44" s="23"/>
      <c r="P44" s="16"/>
      <c r="Q44" s="16"/>
      <c r="R44" s="77"/>
      <c r="S44" s="78"/>
    </row>
    <row r="45" spans="1:19" s="76" customFormat="1" ht="15" x14ac:dyDescent="0.2">
      <c r="A45" s="10" t="s">
        <v>1345</v>
      </c>
      <c r="B45" s="154"/>
      <c r="C45" s="190"/>
      <c r="D45" s="158"/>
      <c r="E45" s="162"/>
      <c r="F45" s="160"/>
      <c r="G45" s="23"/>
      <c r="H45" s="161"/>
      <c r="I45" s="16"/>
      <c r="J45" s="136"/>
      <c r="K45" s="23"/>
      <c r="L45" s="21"/>
      <c r="M45" s="22"/>
      <c r="N45" s="154"/>
      <c r="O45" s="23"/>
      <c r="P45" s="16"/>
      <c r="Q45" s="16"/>
      <c r="R45" s="77"/>
      <c r="S45" s="78"/>
    </row>
    <row r="46" spans="1:19" s="76" customFormat="1" ht="15" x14ac:dyDescent="0.2">
      <c r="A46" s="10" t="s">
        <v>1346</v>
      </c>
      <c r="B46" s="154"/>
      <c r="C46" s="190"/>
      <c r="D46" s="158"/>
      <c r="E46" s="162"/>
      <c r="F46" s="160"/>
      <c r="G46" s="23"/>
      <c r="H46" s="161"/>
      <c r="I46" s="16"/>
      <c r="J46" s="136"/>
      <c r="K46" s="23"/>
      <c r="L46" s="21"/>
      <c r="M46" s="22"/>
      <c r="N46" s="154"/>
      <c r="O46" s="23"/>
      <c r="P46" s="16"/>
      <c r="Q46" s="16"/>
      <c r="R46" s="77"/>
      <c r="S46" s="78"/>
    </row>
    <row r="47" spans="1:19" s="76" customFormat="1" ht="15" x14ac:dyDescent="0.2">
      <c r="A47" s="10"/>
      <c r="B47" s="154"/>
      <c r="C47" s="190"/>
      <c r="D47" s="158"/>
      <c r="E47" s="162"/>
      <c r="F47" s="160"/>
      <c r="G47" s="23"/>
      <c r="H47" s="161"/>
      <c r="I47" s="16"/>
      <c r="J47" s="136"/>
      <c r="K47" s="23"/>
      <c r="L47" s="21"/>
      <c r="M47" s="22"/>
      <c r="N47" s="154"/>
      <c r="O47" s="23"/>
      <c r="P47" s="16"/>
      <c r="Q47" s="16"/>
      <c r="R47" s="77"/>
      <c r="S47" s="78"/>
    </row>
    <row r="48" spans="1:19" s="76" customFormat="1" ht="15" x14ac:dyDescent="0.2">
      <c r="A48" s="10" t="s">
        <v>1347</v>
      </c>
      <c r="B48" s="154"/>
      <c r="C48" s="190"/>
      <c r="D48" s="158"/>
      <c r="E48" s="162"/>
      <c r="F48" s="160"/>
      <c r="G48" s="23"/>
      <c r="H48" s="161"/>
      <c r="I48" s="16"/>
      <c r="J48" s="136"/>
      <c r="K48" s="23"/>
      <c r="L48" s="21"/>
      <c r="M48" s="22"/>
      <c r="N48" s="154"/>
      <c r="O48" s="23"/>
      <c r="P48" s="16"/>
      <c r="Q48" s="16"/>
      <c r="R48" s="77"/>
      <c r="S48" s="78"/>
    </row>
    <row r="49" spans="1:19" s="76" customFormat="1" ht="15" x14ac:dyDescent="0.2">
      <c r="A49" s="10" t="s">
        <v>1348</v>
      </c>
      <c r="B49" s="154"/>
      <c r="C49" s="190"/>
      <c r="D49" s="158"/>
      <c r="E49" s="162"/>
      <c r="F49" s="160"/>
      <c r="G49" s="23"/>
      <c r="H49" s="161"/>
      <c r="I49" s="16"/>
      <c r="J49" s="136"/>
      <c r="K49" s="23"/>
      <c r="L49" s="21"/>
      <c r="M49" s="22"/>
      <c r="N49" s="154"/>
      <c r="O49" s="23"/>
      <c r="P49" s="16"/>
      <c r="Q49" s="16"/>
      <c r="R49" s="77"/>
      <c r="S49" s="78"/>
    </row>
    <row r="50" spans="1:19" s="76" customFormat="1" ht="15" x14ac:dyDescent="0.2">
      <c r="A50" s="10" t="s">
        <v>1349</v>
      </c>
      <c r="B50" s="154"/>
      <c r="C50" s="190"/>
      <c r="D50" s="158"/>
      <c r="E50" s="162"/>
      <c r="F50" s="160"/>
      <c r="G50" s="23"/>
      <c r="H50" s="161"/>
      <c r="I50" s="16"/>
      <c r="J50" s="136"/>
      <c r="K50" s="23"/>
      <c r="L50" s="21"/>
      <c r="M50" s="22"/>
      <c r="N50" s="154"/>
      <c r="O50" s="23"/>
      <c r="P50" s="16"/>
      <c r="Q50" s="16"/>
      <c r="R50" s="77"/>
      <c r="S50" s="78"/>
    </row>
    <row r="51" spans="1:19" s="76" customFormat="1" ht="15" x14ac:dyDescent="0.2">
      <c r="A51" s="10" t="s">
        <v>1350</v>
      </c>
      <c r="B51" s="154"/>
      <c r="C51" s="190"/>
      <c r="D51" s="158"/>
      <c r="E51" s="162"/>
      <c r="F51" s="160"/>
      <c r="G51" s="23"/>
      <c r="H51" s="161"/>
      <c r="I51" s="16"/>
      <c r="J51" s="136"/>
      <c r="K51" s="23"/>
      <c r="L51" s="21"/>
      <c r="M51" s="22"/>
      <c r="N51" s="154"/>
      <c r="O51" s="23"/>
      <c r="P51" s="16"/>
      <c r="Q51" s="16"/>
      <c r="R51" s="77"/>
      <c r="S51" s="78"/>
    </row>
    <row r="52" spans="1:19" s="76" customFormat="1" ht="15" x14ac:dyDescent="0.2">
      <c r="A52" s="10" t="s">
        <v>1351</v>
      </c>
      <c r="B52" s="154"/>
      <c r="C52" s="190"/>
      <c r="D52" s="158"/>
      <c r="E52" s="162"/>
      <c r="F52" s="160"/>
      <c r="G52" s="23"/>
      <c r="H52" s="161"/>
      <c r="I52" s="16"/>
      <c r="J52" s="136"/>
      <c r="K52" s="23"/>
      <c r="L52" s="21"/>
      <c r="M52" s="22"/>
      <c r="N52" s="154"/>
      <c r="O52" s="23"/>
      <c r="P52" s="16"/>
      <c r="Q52" s="16"/>
      <c r="R52" s="77"/>
      <c r="S52" s="78"/>
    </row>
    <row r="53" spans="1:19" s="76" customFormat="1" ht="15" x14ac:dyDescent="0.2">
      <c r="A53" s="10" t="s">
        <v>1352</v>
      </c>
      <c r="B53" s="154"/>
      <c r="C53" s="190"/>
      <c r="D53" s="158"/>
      <c r="E53" s="162"/>
      <c r="F53" s="160"/>
      <c r="G53" s="23"/>
      <c r="H53" s="161"/>
      <c r="I53" s="16"/>
      <c r="J53" s="136"/>
      <c r="K53" s="23"/>
      <c r="L53" s="21"/>
      <c r="M53" s="22"/>
      <c r="N53" s="154"/>
      <c r="O53" s="23"/>
      <c r="P53" s="16"/>
      <c r="Q53" s="16"/>
      <c r="R53" s="77"/>
      <c r="S53" s="78"/>
    </row>
    <row r="54" spans="1:19" s="76" customFormat="1" ht="15" x14ac:dyDescent="0.2">
      <c r="A54" s="10" t="s">
        <v>1353</v>
      </c>
      <c r="B54" s="154"/>
      <c r="C54" s="190"/>
      <c r="D54" s="158"/>
      <c r="E54" s="162"/>
      <c r="F54" s="160"/>
      <c r="G54" s="23"/>
      <c r="H54" s="161"/>
      <c r="I54" s="16"/>
      <c r="J54" s="136"/>
      <c r="K54" s="23"/>
      <c r="L54" s="21"/>
      <c r="M54" s="22"/>
      <c r="N54" s="154"/>
      <c r="O54" s="23"/>
      <c r="P54" s="16"/>
      <c r="Q54" s="16"/>
      <c r="R54" s="77"/>
      <c r="S54" s="78"/>
    </row>
    <row r="55" spans="1:19" s="76" customFormat="1" ht="15" x14ac:dyDescent="0.2">
      <c r="A55" s="10" t="s">
        <v>1354</v>
      </c>
      <c r="B55" s="154"/>
      <c r="C55" s="190"/>
      <c r="D55" s="158"/>
      <c r="E55" s="162"/>
      <c r="F55" s="160"/>
      <c r="G55" s="23"/>
      <c r="H55" s="161"/>
      <c r="I55" s="16"/>
      <c r="J55" s="136"/>
      <c r="K55" s="23"/>
      <c r="L55" s="21"/>
      <c r="M55" s="22"/>
      <c r="N55" s="154"/>
      <c r="O55" s="23"/>
      <c r="P55" s="16"/>
      <c r="Q55" s="16"/>
      <c r="R55" s="77"/>
      <c r="S55" s="78"/>
    </row>
    <row r="56" spans="1:19" s="76" customFormat="1" ht="15" x14ac:dyDescent="0.2">
      <c r="A56" s="10"/>
      <c r="B56" s="154"/>
      <c r="C56" s="190"/>
      <c r="D56" s="158"/>
      <c r="E56" s="162"/>
      <c r="F56" s="160"/>
      <c r="G56" s="23"/>
      <c r="H56" s="161"/>
      <c r="I56" s="16"/>
      <c r="J56" s="136"/>
      <c r="K56" s="23"/>
      <c r="L56" s="21"/>
      <c r="M56" s="22"/>
      <c r="N56" s="154"/>
      <c r="O56" s="23"/>
      <c r="P56" s="16"/>
      <c r="Q56" s="16"/>
      <c r="R56" s="77"/>
      <c r="S56" s="78"/>
    </row>
    <row r="57" spans="1:19" s="76" customFormat="1" ht="15" x14ac:dyDescent="0.2">
      <c r="A57" s="10"/>
      <c r="B57" s="154"/>
      <c r="C57" s="190"/>
      <c r="D57" s="158"/>
      <c r="E57" s="162"/>
      <c r="F57" s="160"/>
      <c r="G57" s="23"/>
      <c r="H57" s="161"/>
      <c r="I57" s="16"/>
      <c r="J57" s="136"/>
      <c r="K57" s="23"/>
      <c r="L57" s="21"/>
      <c r="M57" s="22"/>
      <c r="N57" s="154"/>
      <c r="O57" s="23"/>
      <c r="P57" s="16"/>
      <c r="Q57" s="16"/>
      <c r="R57" s="77"/>
      <c r="S57" s="78"/>
    </row>
    <row r="58" spans="1:19" s="76" customFormat="1" ht="15.75" customHeight="1" thickBot="1" x14ac:dyDescent="0.25">
      <c r="A58" s="10" t="s">
        <v>1355</v>
      </c>
      <c r="B58" s="154">
        <v>5</v>
      </c>
      <c r="C58" s="190">
        <v>5</v>
      </c>
      <c r="D58" s="158"/>
      <c r="E58" s="162"/>
      <c r="F58" s="160"/>
      <c r="G58" s="23"/>
      <c r="H58" s="161"/>
      <c r="I58" s="16"/>
      <c r="J58" s="136"/>
      <c r="K58" s="23"/>
      <c r="L58" s="21"/>
      <c r="M58" s="22"/>
      <c r="N58" s="154"/>
      <c r="O58" s="23"/>
      <c r="P58" s="16"/>
      <c r="Q58" s="16"/>
      <c r="R58" s="77"/>
      <c r="S58" s="78"/>
    </row>
    <row r="59" spans="1:19" s="174" customFormat="1" ht="17.25" customHeight="1" thickBot="1" x14ac:dyDescent="0.3">
      <c r="A59" s="167" t="s">
        <v>440</v>
      </c>
      <c r="B59" s="178">
        <f>AVERAGE(B41:B58)</f>
        <v>5</v>
      </c>
      <c r="C59" s="179"/>
      <c r="D59" s="128" t="e">
        <f>AVERAGE(D41:D58)</f>
        <v>#DIV/0!</v>
      </c>
      <c r="E59" s="129"/>
      <c r="F59" s="126" t="e">
        <f>AVERAGE(F41:F58)</f>
        <v>#DIV/0!</v>
      </c>
      <c r="G59" s="127"/>
      <c r="H59" s="175" t="e">
        <f>AVERAGE(H41:H58)</f>
        <v>#DIV/0!</v>
      </c>
      <c r="I59" s="129"/>
      <c r="J59" s="169" t="e">
        <f>AVERAGE(J41:J58)</f>
        <v>#DIV/0!</v>
      </c>
      <c r="K59" s="170"/>
      <c r="L59" s="169" t="e">
        <f>AVERAGE(L41:L58)</f>
        <v>#DIV/0!</v>
      </c>
      <c r="M59" s="172"/>
      <c r="N59" s="169" t="e">
        <f>AVERAGE(N41:N58)</f>
        <v>#DIV/0!</v>
      </c>
      <c r="O59" s="173"/>
      <c r="P59" s="188" t="e">
        <f>AVERAGE(P41:P58)</f>
        <v>#DIV/0!</v>
      </c>
      <c r="Q59" s="186"/>
      <c r="R59" s="171" t="e">
        <f>AVERAGE(R41:R58)</f>
        <v>#DIV/0!</v>
      </c>
      <c r="S59" s="173"/>
    </row>
    <row r="60" spans="1:19" s="76" customFormat="1" ht="16.5" x14ac:dyDescent="0.2">
      <c r="A60" s="51" t="s">
        <v>1143</v>
      </c>
      <c r="B60" s="136"/>
      <c r="C60" s="137"/>
      <c r="D60" s="138"/>
      <c r="E60" s="138"/>
      <c r="F60" s="136"/>
      <c r="G60" s="137"/>
      <c r="H60" s="138"/>
      <c r="I60" s="138"/>
      <c r="J60" s="136"/>
      <c r="K60" s="137"/>
      <c r="L60" s="136"/>
      <c r="M60" s="138"/>
      <c r="N60" s="155"/>
      <c r="O60" s="137"/>
      <c r="P60" s="138"/>
      <c r="Q60" s="138"/>
      <c r="R60" s="77"/>
      <c r="S60" s="78"/>
    </row>
    <row r="61" spans="1:19" s="76" customFormat="1" ht="15" customHeight="1" x14ac:dyDescent="0.2">
      <c r="A61" s="55" t="s">
        <v>1144</v>
      </c>
      <c r="B61" s="80"/>
      <c r="C61" s="189"/>
      <c r="D61" s="79"/>
      <c r="E61" s="22"/>
      <c r="F61" s="21"/>
      <c r="G61" s="23"/>
      <c r="H61" s="57"/>
      <c r="I61" s="22"/>
      <c r="J61" s="136"/>
      <c r="K61" s="23"/>
      <c r="L61" s="21"/>
      <c r="M61" s="22"/>
      <c r="N61" s="154"/>
      <c r="O61" s="23"/>
      <c r="P61" s="16"/>
      <c r="Q61" s="16"/>
      <c r="R61" s="77"/>
      <c r="S61" s="78"/>
    </row>
    <row r="62" spans="1:19" s="76" customFormat="1" ht="15" x14ac:dyDescent="0.2">
      <c r="A62" s="55" t="s">
        <v>1145</v>
      </c>
      <c r="B62" s="80"/>
      <c r="C62" s="189"/>
      <c r="D62" s="79"/>
      <c r="E62" s="22"/>
      <c r="F62" s="21"/>
      <c r="G62" s="23"/>
      <c r="H62" s="57"/>
      <c r="I62" s="22"/>
      <c r="J62" s="136"/>
      <c r="K62" s="23"/>
      <c r="L62" s="21"/>
      <c r="M62" s="22"/>
      <c r="N62" s="154"/>
      <c r="O62" s="23"/>
      <c r="P62" s="16"/>
      <c r="Q62" s="16"/>
      <c r="R62" s="77"/>
      <c r="S62" s="78"/>
    </row>
    <row r="63" spans="1:19" s="76" customFormat="1" ht="15" x14ac:dyDescent="0.2">
      <c r="A63" s="55" t="s">
        <v>1146</v>
      </c>
      <c r="B63" s="80"/>
      <c r="C63" s="189"/>
      <c r="D63" s="79"/>
      <c r="E63" s="22"/>
      <c r="F63" s="21"/>
      <c r="G63" s="23"/>
      <c r="H63" s="57"/>
      <c r="I63" s="22"/>
      <c r="J63" s="136"/>
      <c r="K63" s="23"/>
      <c r="L63" s="21"/>
      <c r="M63" s="22"/>
      <c r="N63" s="154"/>
      <c r="O63" s="23"/>
      <c r="P63" s="16"/>
      <c r="Q63" s="16"/>
      <c r="R63" s="77"/>
      <c r="S63" s="78"/>
    </row>
    <row r="64" spans="1:19" s="76" customFormat="1" ht="15" x14ac:dyDescent="0.2">
      <c r="A64" s="55" t="s">
        <v>1147</v>
      </c>
      <c r="B64" s="80"/>
      <c r="C64" s="189"/>
      <c r="D64" s="79"/>
      <c r="E64" s="22"/>
      <c r="F64" s="21"/>
      <c r="G64" s="23"/>
      <c r="H64" s="57"/>
      <c r="I64" s="22"/>
      <c r="J64" s="136"/>
      <c r="K64" s="23"/>
      <c r="L64" s="21"/>
      <c r="M64" s="22"/>
      <c r="N64" s="154"/>
      <c r="O64" s="23"/>
      <c r="P64" s="16"/>
      <c r="Q64" s="16"/>
      <c r="R64" s="77"/>
      <c r="S64" s="78"/>
    </row>
    <row r="65" spans="1:20" s="76" customFormat="1" ht="15" x14ac:dyDescent="0.2">
      <c r="A65" s="55" t="s">
        <v>1148</v>
      </c>
      <c r="B65" s="80"/>
      <c r="C65" s="189"/>
      <c r="D65" s="79"/>
      <c r="E65" s="22"/>
      <c r="F65" s="21"/>
      <c r="G65" s="23"/>
      <c r="H65" s="57"/>
      <c r="I65" s="22"/>
      <c r="J65" s="136"/>
      <c r="K65" s="23"/>
      <c r="L65" s="21"/>
      <c r="M65" s="22"/>
      <c r="N65" s="154"/>
      <c r="O65" s="23"/>
      <c r="P65" s="16"/>
      <c r="Q65" s="16"/>
      <c r="R65" s="77"/>
      <c r="S65" s="78"/>
    </row>
    <row r="66" spans="1:20" s="76" customFormat="1" ht="15.75" thickBot="1" x14ac:dyDescent="0.25">
      <c r="A66" s="55" t="s">
        <v>1149</v>
      </c>
      <c r="B66" s="80">
        <v>4</v>
      </c>
      <c r="C66" s="189">
        <v>4</v>
      </c>
      <c r="D66" s="79"/>
      <c r="E66" s="22"/>
      <c r="F66" s="21"/>
      <c r="G66" s="23"/>
      <c r="H66" s="57"/>
      <c r="I66" s="22"/>
      <c r="J66" s="136"/>
      <c r="K66" s="23"/>
      <c r="L66" s="21"/>
      <c r="M66" s="22"/>
      <c r="N66" s="154"/>
      <c r="O66" s="23"/>
      <c r="P66" s="16"/>
      <c r="Q66" s="16"/>
      <c r="R66" s="77"/>
      <c r="S66" s="78"/>
    </row>
    <row r="67" spans="1:20" s="174" customFormat="1" ht="17.25" thickBot="1" x14ac:dyDescent="0.3">
      <c r="A67" s="167" t="s">
        <v>440</v>
      </c>
      <c r="B67" s="126">
        <f>AVERAGE(B61:B66)</f>
        <v>4</v>
      </c>
      <c r="C67" s="127"/>
      <c r="D67" s="128" t="e">
        <f>AVERAGE(D61:D66)</f>
        <v>#DIV/0!</v>
      </c>
      <c r="E67" s="129"/>
      <c r="F67" s="130" t="e">
        <f>AVERAGE(F61:F66)</f>
        <v>#DIV/0!</v>
      </c>
      <c r="G67" s="127"/>
      <c r="H67" s="175" t="e">
        <f>AVERAGE(H61:H66)</f>
        <v>#DIV/0!</v>
      </c>
      <c r="I67" s="129"/>
      <c r="J67" s="169" t="e">
        <f>AVERAGE(J61:J66)</f>
        <v>#DIV/0!</v>
      </c>
      <c r="K67" s="170"/>
      <c r="L67" s="169" t="e">
        <f>AVERAGE(L61:L66)</f>
        <v>#DIV/0!</v>
      </c>
      <c r="M67" s="176"/>
      <c r="N67" s="169" t="e">
        <f>AVERAGE(N61:N66)</f>
        <v>#DIV/0!</v>
      </c>
      <c r="O67" s="173"/>
      <c r="P67" s="188" t="e">
        <f>AVERAGE(P61:P66)</f>
        <v>#DIV/0!</v>
      </c>
      <c r="Q67" s="186"/>
      <c r="R67" s="171" t="e">
        <f>AVERAGE(R61:R66)</f>
        <v>#DIV/0!</v>
      </c>
      <c r="S67" s="173"/>
    </row>
    <row r="68" spans="1:20" s="76" customFormat="1" ht="16.5" x14ac:dyDescent="0.2">
      <c r="A68" s="51" t="s">
        <v>1150</v>
      </c>
      <c r="B68" s="136"/>
      <c r="C68" s="137"/>
      <c r="D68" s="138"/>
      <c r="E68" s="138"/>
      <c r="F68" s="136"/>
      <c r="G68" s="137"/>
      <c r="H68" s="138"/>
      <c r="I68" s="138"/>
      <c r="J68" s="136"/>
      <c r="K68" s="137"/>
      <c r="L68" s="136"/>
      <c r="M68" s="138"/>
      <c r="N68" s="155"/>
      <c r="O68" s="137"/>
      <c r="P68" s="138"/>
      <c r="Q68" s="138"/>
      <c r="R68" s="77"/>
      <c r="S68" s="78"/>
    </row>
    <row r="69" spans="1:20" s="76" customFormat="1" ht="15" x14ac:dyDescent="0.2">
      <c r="A69" s="55" t="s">
        <v>1151</v>
      </c>
      <c r="B69" s="80"/>
      <c r="C69" s="189"/>
      <c r="D69" s="79"/>
      <c r="E69" s="22"/>
      <c r="F69" s="21"/>
      <c r="G69" s="23"/>
      <c r="H69" s="22"/>
      <c r="I69" s="22"/>
      <c r="J69" s="136"/>
      <c r="K69" s="23"/>
      <c r="L69" s="21"/>
      <c r="M69" s="22"/>
      <c r="N69" s="154"/>
      <c r="O69" s="23"/>
      <c r="P69" s="16"/>
      <c r="Q69" s="16"/>
      <c r="R69" s="77"/>
      <c r="S69" s="78"/>
    </row>
    <row r="70" spans="1:20" s="76" customFormat="1" ht="15" x14ac:dyDescent="0.2">
      <c r="A70" s="55" t="s">
        <v>1152</v>
      </c>
      <c r="B70" s="80"/>
      <c r="C70" s="189"/>
      <c r="D70" s="79"/>
      <c r="E70" s="22"/>
      <c r="F70" s="21"/>
      <c r="G70" s="23"/>
      <c r="H70" s="57"/>
      <c r="I70" s="22"/>
      <c r="J70" s="136"/>
      <c r="K70" s="23"/>
      <c r="L70" s="21"/>
      <c r="M70" s="22"/>
      <c r="N70" s="154"/>
      <c r="O70" s="23"/>
      <c r="P70" s="16"/>
      <c r="Q70" s="16"/>
      <c r="R70" s="77"/>
      <c r="S70" s="78"/>
    </row>
    <row r="71" spans="1:20" s="76" customFormat="1" ht="15" x14ac:dyDescent="0.2">
      <c r="A71" s="55" t="s">
        <v>1153</v>
      </c>
      <c r="B71" s="80"/>
      <c r="C71" s="189"/>
      <c r="D71" s="79"/>
      <c r="E71" s="22"/>
      <c r="F71" s="21"/>
      <c r="G71" s="23"/>
      <c r="H71" s="57"/>
      <c r="I71" s="22"/>
      <c r="J71" s="136"/>
      <c r="K71" s="23"/>
      <c r="L71" s="21"/>
      <c r="M71" s="22"/>
      <c r="N71" s="154"/>
      <c r="O71" s="23"/>
      <c r="P71" s="16"/>
      <c r="Q71" s="16"/>
      <c r="R71" s="77"/>
      <c r="S71" s="78"/>
    </row>
    <row r="72" spans="1:20" s="76" customFormat="1" ht="15" x14ac:dyDescent="0.2">
      <c r="A72" s="55" t="s">
        <v>1154</v>
      </c>
      <c r="B72" s="80"/>
      <c r="C72" s="189"/>
      <c r="D72" s="79"/>
      <c r="E72" s="22"/>
      <c r="F72" s="21"/>
      <c r="G72" s="23"/>
      <c r="H72" s="57"/>
      <c r="I72" s="22"/>
      <c r="J72" s="136"/>
      <c r="K72" s="23"/>
      <c r="L72" s="21"/>
      <c r="M72" s="22"/>
      <c r="N72" s="154"/>
      <c r="O72" s="23"/>
      <c r="P72" s="16"/>
      <c r="Q72" s="16"/>
      <c r="R72" s="77"/>
      <c r="S72" s="78"/>
      <c r="T72" s="76" t="s">
        <v>1338</v>
      </c>
    </row>
    <row r="73" spans="1:20" s="76" customFormat="1" ht="15.75" thickBot="1" x14ac:dyDescent="0.25">
      <c r="A73" s="55" t="s">
        <v>1155</v>
      </c>
      <c r="B73" s="80">
        <v>3</v>
      </c>
      <c r="C73" s="189">
        <v>3</v>
      </c>
      <c r="D73" s="79"/>
      <c r="E73" s="22"/>
      <c r="F73" s="21"/>
      <c r="G73" s="23"/>
      <c r="H73" s="57"/>
      <c r="I73" s="22"/>
      <c r="J73" s="136"/>
      <c r="K73" s="23"/>
      <c r="L73" s="21"/>
      <c r="M73" s="22"/>
      <c r="N73" s="154"/>
      <c r="O73" s="23"/>
      <c r="P73" s="16"/>
      <c r="Q73" s="16"/>
      <c r="R73" s="77"/>
      <c r="S73" s="78"/>
    </row>
    <row r="74" spans="1:20" s="174" customFormat="1" ht="17.25" thickBot="1" x14ac:dyDescent="0.3">
      <c r="A74" s="167" t="s">
        <v>440</v>
      </c>
      <c r="B74" s="126">
        <f>AVERAGE(B69:B73)</f>
        <v>3</v>
      </c>
      <c r="C74" s="127"/>
      <c r="D74" s="128" t="e">
        <f>AVERAGE(D69:D73)</f>
        <v>#DIV/0!</v>
      </c>
      <c r="E74" s="129"/>
      <c r="F74" s="130" t="e">
        <f>AVERAGE(F69:F73)</f>
        <v>#DIV/0!</v>
      </c>
      <c r="G74" s="127"/>
      <c r="H74" s="175" t="e">
        <f>AVERAGE(H69:H73)</f>
        <v>#DIV/0!</v>
      </c>
      <c r="I74" s="129"/>
      <c r="J74" s="169" t="e">
        <f>AVERAGE(J69:J73)</f>
        <v>#DIV/0!</v>
      </c>
      <c r="K74" s="170"/>
      <c r="L74" s="169" t="e">
        <f>AVERAGE(L69:L73)</f>
        <v>#DIV/0!</v>
      </c>
      <c r="M74" s="176"/>
      <c r="N74" s="169" t="e">
        <f>AVERAGE(N69:N73)</f>
        <v>#DIV/0!</v>
      </c>
      <c r="O74" s="173"/>
      <c r="P74" s="188" t="e">
        <f>AVERAGE(P69:P73)</f>
        <v>#DIV/0!</v>
      </c>
      <c r="Q74" s="186"/>
      <c r="R74" s="171" t="e">
        <f>AVERAGE(R69:R73)</f>
        <v>#DIV/0!</v>
      </c>
      <c r="S74" s="173"/>
    </row>
    <row r="75" spans="1:20" s="76" customFormat="1" ht="16.5" x14ac:dyDescent="0.2">
      <c r="A75" s="51" t="s">
        <v>1156</v>
      </c>
      <c r="B75" s="136"/>
      <c r="C75" s="137"/>
      <c r="D75" s="138"/>
      <c r="E75" s="138"/>
      <c r="F75" s="136"/>
      <c r="G75" s="137"/>
      <c r="H75" s="138"/>
      <c r="I75" s="138"/>
      <c r="J75" s="136"/>
      <c r="K75" s="137"/>
      <c r="L75" s="136"/>
      <c r="M75" s="138"/>
      <c r="N75" s="155"/>
      <c r="O75" s="137"/>
      <c r="P75" s="138"/>
      <c r="Q75" s="138"/>
      <c r="R75" s="77"/>
      <c r="S75" s="78"/>
    </row>
    <row r="76" spans="1:20" s="76" customFormat="1" ht="15" x14ac:dyDescent="0.2">
      <c r="A76" s="55" t="s">
        <v>1157</v>
      </c>
      <c r="B76" s="80"/>
      <c r="C76" s="189"/>
      <c r="D76" s="79"/>
      <c r="E76" s="22"/>
      <c r="F76" s="21"/>
      <c r="G76" s="23"/>
      <c r="H76" s="57"/>
      <c r="I76" s="22"/>
      <c r="J76" s="136"/>
      <c r="K76" s="23"/>
      <c r="L76" s="21"/>
      <c r="M76" s="22"/>
      <c r="N76" s="154"/>
      <c r="O76" s="23"/>
      <c r="P76" s="16"/>
      <c r="Q76" s="16"/>
      <c r="R76" s="77"/>
      <c r="S76" s="78"/>
    </row>
    <row r="77" spans="1:20" s="76" customFormat="1" ht="15" x14ac:dyDescent="0.2">
      <c r="A77" s="55" t="s">
        <v>1158</v>
      </c>
      <c r="B77" s="80"/>
      <c r="C77" s="189"/>
      <c r="D77" s="79"/>
      <c r="E77" s="22"/>
      <c r="F77" s="21"/>
      <c r="G77" s="23"/>
      <c r="H77" s="57"/>
      <c r="I77" s="22"/>
      <c r="J77" s="136"/>
      <c r="K77" s="23"/>
      <c r="L77" s="21"/>
      <c r="M77" s="22"/>
      <c r="N77" s="154"/>
      <c r="O77" s="23"/>
      <c r="P77" s="16"/>
      <c r="Q77" s="16"/>
      <c r="R77" s="77"/>
      <c r="S77" s="78"/>
    </row>
    <row r="78" spans="1:20" s="76" customFormat="1" ht="15.75" thickBot="1" x14ac:dyDescent="0.25">
      <c r="A78" s="55" t="s">
        <v>1159</v>
      </c>
      <c r="B78" s="80">
        <v>2</v>
      </c>
      <c r="C78" s="189">
        <v>2</v>
      </c>
      <c r="D78" s="79"/>
      <c r="E78" s="22"/>
      <c r="F78" s="21"/>
      <c r="G78" s="23"/>
      <c r="H78" s="57"/>
      <c r="I78" s="22"/>
      <c r="J78" s="136"/>
      <c r="K78" s="23"/>
      <c r="L78" s="21"/>
      <c r="M78" s="22"/>
      <c r="N78" s="154"/>
      <c r="O78" s="23"/>
      <c r="P78" s="16"/>
      <c r="Q78" s="16"/>
      <c r="R78" s="77"/>
      <c r="S78" s="78"/>
    </row>
    <row r="79" spans="1:20" s="174" customFormat="1" ht="17.25" thickBot="1" x14ac:dyDescent="0.3">
      <c r="A79" s="167" t="s">
        <v>440</v>
      </c>
      <c r="B79" s="126">
        <f>AVERAGE(B76:B78)</f>
        <v>2</v>
      </c>
      <c r="C79" s="127"/>
      <c r="D79" s="128" t="e">
        <f>AVERAGE(D76:D78)</f>
        <v>#DIV/0!</v>
      </c>
      <c r="E79" s="129"/>
      <c r="F79" s="130" t="e">
        <f>AVERAGE(F76:F78)</f>
        <v>#DIV/0!</v>
      </c>
      <c r="G79" s="127"/>
      <c r="H79" s="168" t="e">
        <f>AVERAGE(H76:H78)</f>
        <v>#DIV/0!</v>
      </c>
      <c r="I79" s="129"/>
      <c r="J79" s="169" t="e">
        <f>AVERAGE(J76:J78)</f>
        <v>#DIV/0!</v>
      </c>
      <c r="K79" s="170"/>
      <c r="L79" s="169" t="e">
        <f>AVERAGE(L76:L78)</f>
        <v>#DIV/0!</v>
      </c>
      <c r="M79" s="176"/>
      <c r="N79" s="169" t="e">
        <f>AVERAGE(N76:N78)</f>
        <v>#DIV/0!</v>
      </c>
      <c r="O79" s="173"/>
      <c r="P79" s="188" t="e">
        <f>AVERAGE(P76:P78)</f>
        <v>#DIV/0!</v>
      </c>
      <c r="Q79" s="186"/>
      <c r="R79" s="171" t="e">
        <f>AVERAGE(R76:R78)</f>
        <v>#DIV/0!</v>
      </c>
      <c r="S79" s="173"/>
    </row>
    <row r="80" spans="1:20" s="76" customFormat="1" ht="16.5" x14ac:dyDescent="0.2">
      <c r="A80" s="53" t="s">
        <v>1160</v>
      </c>
      <c r="B80" s="136"/>
      <c r="C80" s="137"/>
      <c r="D80" s="138"/>
      <c r="E80" s="138"/>
      <c r="F80" s="136"/>
      <c r="G80" s="137"/>
      <c r="H80" s="138"/>
      <c r="I80" s="138"/>
      <c r="J80" s="136"/>
      <c r="K80" s="137"/>
      <c r="L80" s="136"/>
      <c r="M80" s="138"/>
      <c r="N80" s="155"/>
      <c r="O80" s="137"/>
      <c r="P80" s="138"/>
      <c r="Q80" s="138"/>
      <c r="R80" s="77"/>
      <c r="S80" s="78"/>
    </row>
    <row r="81" spans="1:19" s="76" customFormat="1" ht="15.75" thickBot="1" x14ac:dyDescent="0.25">
      <c r="A81" s="55" t="s">
        <v>1161</v>
      </c>
      <c r="B81" s="80">
        <v>1</v>
      </c>
      <c r="C81" s="189">
        <v>1</v>
      </c>
      <c r="D81" s="79"/>
      <c r="E81" s="22"/>
      <c r="F81" s="21"/>
      <c r="G81" s="23"/>
      <c r="H81" s="57"/>
      <c r="I81" s="16"/>
      <c r="J81" s="136"/>
      <c r="K81" s="98"/>
      <c r="L81" s="83"/>
      <c r="M81" s="98"/>
      <c r="N81" s="154"/>
      <c r="O81" s="23"/>
      <c r="P81" s="16"/>
      <c r="Q81" s="16"/>
      <c r="R81" s="77"/>
      <c r="S81" s="78"/>
    </row>
    <row r="82" spans="1:19" s="174" customFormat="1" ht="15.75" thickBot="1" x14ac:dyDescent="0.3">
      <c r="A82" s="167" t="s">
        <v>440</v>
      </c>
      <c r="B82" s="121">
        <f>AVERAGE(B81)</f>
        <v>1</v>
      </c>
      <c r="C82" s="122"/>
      <c r="D82" s="123" t="e">
        <f>AVERAGE(D81)</f>
        <v>#DIV/0!</v>
      </c>
      <c r="E82" s="124"/>
      <c r="F82" s="125" t="e">
        <f>AVERAGE(F81)</f>
        <v>#DIV/0!</v>
      </c>
      <c r="G82" s="173"/>
      <c r="H82" s="168" t="e">
        <f>AVERAGE(H80:H81)</f>
        <v>#DIV/0!</v>
      </c>
      <c r="I82" s="172"/>
      <c r="J82" s="169" t="e">
        <f>AVERAGE(J81)</f>
        <v>#DIV/0!</v>
      </c>
      <c r="K82" s="173"/>
      <c r="L82" s="180" t="e">
        <f>AVERAGE(L81)</f>
        <v>#DIV/0!</v>
      </c>
      <c r="M82" s="181"/>
      <c r="N82" s="169" t="e">
        <f>AVERAGE(N81)</f>
        <v>#DIV/0!</v>
      </c>
      <c r="O82" s="173"/>
      <c r="P82" s="187" t="e">
        <f>AVERAGE(P81)</f>
        <v>#DIV/0!</v>
      </c>
      <c r="Q82" s="186"/>
      <c r="R82" s="171" t="e">
        <f>AVERAGE(R81)</f>
        <v>#DIV/0!</v>
      </c>
      <c r="S82" s="173"/>
    </row>
    <row r="83" spans="1:19" s="76" customFormat="1" x14ac:dyDescent="0.2">
      <c r="B83" s="165"/>
      <c r="C83" s="138"/>
      <c r="D83" s="165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</row>
    <row r="84" spans="1:19" s="76" customFormat="1" x14ac:dyDescent="0.2">
      <c r="B84" s="165"/>
      <c r="C84" s="138"/>
      <c r="D84" s="165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</row>
    <row r="85" spans="1:19" s="76" customFormat="1" x14ac:dyDescent="0.2">
      <c r="B85" s="165"/>
      <c r="C85" s="138"/>
      <c r="D85" s="165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</row>
    <row r="86" spans="1:19" s="76" customFormat="1" x14ac:dyDescent="0.2">
      <c r="B86" s="165"/>
      <c r="C86" s="138"/>
      <c r="D86" s="165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</row>
  </sheetData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baseColWidth="10" defaultRowHeight="12.75" x14ac:dyDescent="0.2"/>
  <cols>
    <col min="1" max="1" width="22.7109375" customWidth="1"/>
  </cols>
  <sheetData>
    <row r="1" spans="1:7" x14ac:dyDescent="0.2">
      <c r="B1" t="s">
        <v>1698</v>
      </c>
    </row>
    <row r="2" spans="1:7" x14ac:dyDescent="0.2">
      <c r="A2" t="s">
        <v>1699</v>
      </c>
      <c r="B2" s="1">
        <v>2010</v>
      </c>
      <c r="C2" s="1">
        <v>2011</v>
      </c>
      <c r="D2" s="1">
        <v>2012</v>
      </c>
      <c r="E2" s="1">
        <v>2013</v>
      </c>
      <c r="F2" s="1">
        <v>2014</v>
      </c>
      <c r="G2" s="1">
        <v>2015</v>
      </c>
    </row>
    <row r="3" spans="1:7" x14ac:dyDescent="0.2">
      <c r="A3" t="str">
        <f>toutes!AG5</f>
        <v>Bas-St-Laurent</v>
      </c>
      <c r="B3" s="166">
        <f>toutes!AR7</f>
        <v>863.1</v>
      </c>
      <c r="C3" s="166">
        <f>toutes!AS7</f>
        <v>767.3</v>
      </c>
      <c r="D3" s="166">
        <f>toutes!AT7</f>
        <v>887.9</v>
      </c>
      <c r="E3" s="166">
        <f>toutes!AU7</f>
        <v>712.7</v>
      </c>
      <c r="F3" s="166" t="e">
        <f>toutes!AV7</f>
        <v>#DIV/0!</v>
      </c>
      <c r="G3" s="166" t="e">
        <f>toutes!AW7</f>
        <v>#DIV/0!</v>
      </c>
    </row>
    <row r="4" spans="1:7" x14ac:dyDescent="0.2">
      <c r="A4" t="str">
        <f>toutes!AG8</f>
        <v>Capitale Nationale</v>
      </c>
      <c r="B4" s="166">
        <f>toutes!AR$12</f>
        <v>1151.5333333333335</v>
      </c>
      <c r="C4" s="166">
        <f>toutes!AS$12</f>
        <v>1075.8333333333333</v>
      </c>
      <c r="D4" s="166">
        <f>toutes!AT$12</f>
        <v>1181.1999999999998</v>
      </c>
      <c r="E4" s="166">
        <f>toutes!AU$12</f>
        <v>992.76666666666677</v>
      </c>
      <c r="F4" s="166" t="e">
        <f>toutes!AV$12</f>
        <v>#DIV/0!</v>
      </c>
      <c r="G4" s="166" t="e">
        <f>toutes!AW$12</f>
        <v>#DIV/0!</v>
      </c>
    </row>
    <row r="5" spans="1:7" x14ac:dyDescent="0.2">
      <c r="A5" t="str">
        <f>toutes!AG13</f>
        <v>Centre-du-Québec</v>
      </c>
      <c r="B5" s="166">
        <f>toutes!AR$16</f>
        <v>1251.5500000000002</v>
      </c>
      <c r="C5" s="166">
        <f>toutes!AS$16</f>
        <v>1267.75</v>
      </c>
      <c r="D5" s="166">
        <f>toutes!AT$16</f>
        <v>1338.6</v>
      </c>
      <c r="E5" s="166">
        <f>toutes!AU$16</f>
        <v>1189</v>
      </c>
      <c r="F5" s="166" t="e">
        <f>toutes!AV$16</f>
        <v>#DIV/0!</v>
      </c>
      <c r="G5" s="166" t="e">
        <f>toutes!AW$16</f>
        <v>#DIV/0!</v>
      </c>
    </row>
    <row r="6" spans="1:7" x14ac:dyDescent="0.2">
      <c r="A6" t="str">
        <f>toutes!AG17</f>
        <v>Chaudière-Appalaches</v>
      </c>
      <c r="B6" s="166">
        <f>toutes!AR$20</f>
        <v>1127</v>
      </c>
      <c r="C6" s="166">
        <f>toutes!AS$20</f>
        <v>1076</v>
      </c>
      <c r="D6" s="166">
        <f>toutes!AT$20</f>
        <v>1157.2</v>
      </c>
      <c r="E6" s="166">
        <f>toutes!AU$20</f>
        <v>1013.4499999999999</v>
      </c>
      <c r="F6" s="166" t="e">
        <f>toutes!AV$20</f>
        <v>#DIV/0!</v>
      </c>
      <c r="G6" s="166" t="e">
        <f>toutes!AW$20</f>
        <v>#DIV/0!</v>
      </c>
    </row>
    <row r="7" spans="1:7" x14ac:dyDescent="0.2">
      <c r="A7" t="str">
        <f>toutes!AG21</f>
        <v>Estrie</v>
      </c>
      <c r="B7" s="166">
        <f>toutes!AR$25</f>
        <v>1186.7333333333333</v>
      </c>
      <c r="C7" s="166">
        <f>toutes!AS$25</f>
        <v>1193.7666666666667</v>
      </c>
      <c r="D7" s="166">
        <f>toutes!AT$25</f>
        <v>1251.3333333333333</v>
      </c>
      <c r="E7" s="166">
        <f>toutes!AU$25</f>
        <v>1181.7666666666667</v>
      </c>
      <c r="F7" s="166" t="e">
        <f>toutes!AV$25</f>
        <v>#DIV/0!</v>
      </c>
      <c r="G7" s="166" t="e">
        <f>toutes!AW$25</f>
        <v>#DIV/0!</v>
      </c>
    </row>
    <row r="8" spans="1:7" x14ac:dyDescent="0.2">
      <c r="A8" t="str">
        <f>toutes!AG26</f>
        <v>Lanaudière</v>
      </c>
      <c r="B8" s="166">
        <f>toutes!AR$29</f>
        <v>1190.2</v>
      </c>
      <c r="C8" s="166">
        <f>toutes!AS$29</f>
        <v>1178.25</v>
      </c>
      <c r="D8" s="166">
        <f>toutes!AT$29</f>
        <v>1206.55</v>
      </c>
      <c r="E8" s="166">
        <f>toutes!AU$29</f>
        <v>1095.3499999999999</v>
      </c>
      <c r="F8" s="166" t="e">
        <f>toutes!AV$29</f>
        <v>#DIV/0!</v>
      </c>
      <c r="G8" s="166" t="e">
        <f>toutes!AW$29</f>
        <v>#DIV/0!</v>
      </c>
    </row>
    <row r="9" spans="1:7" x14ac:dyDescent="0.2">
      <c r="A9" t="str">
        <f>toutes!AG30</f>
        <v>Laurentide</v>
      </c>
      <c r="B9" s="166">
        <f>toutes!AR$34</f>
        <v>1198.8999999999999</v>
      </c>
      <c r="C9" s="166">
        <f>toutes!AS$34</f>
        <v>1247.6666666666667</v>
      </c>
      <c r="D9" s="166">
        <f>toutes!AT$34</f>
        <v>1206.55</v>
      </c>
      <c r="E9" s="166">
        <f>toutes!AU$34</f>
        <v>1119.4000000000001</v>
      </c>
      <c r="F9" s="166" t="e">
        <f>toutes!AV$34</f>
        <v>#DIV/0!</v>
      </c>
      <c r="G9" s="166" t="e">
        <f>toutes!AW$34</f>
        <v>#DIV/0!</v>
      </c>
    </row>
    <row r="10" spans="1:7" x14ac:dyDescent="0.2">
      <c r="A10" t="str">
        <f>toutes!AG35</f>
        <v>Mauricie</v>
      </c>
      <c r="B10" s="166">
        <f>toutes!AR$54</f>
        <v>1106.5714285714287</v>
      </c>
      <c r="C10" s="166">
        <f>toutes!AS$54</f>
        <v>1087.3666666666668</v>
      </c>
      <c r="D10" s="166">
        <f>toutes!AT$54</f>
        <v>1135.5285714285715</v>
      </c>
      <c r="E10" s="166">
        <f>toutes!AU$54</f>
        <v>1012.85</v>
      </c>
      <c r="F10" s="166" t="e">
        <f>toutes!AV$54</f>
        <v>#DIV/0!</v>
      </c>
      <c r="G10" s="166" t="e">
        <f>toutes!AW$54</f>
        <v>#DIV/0!</v>
      </c>
    </row>
    <row r="11" spans="1:7" x14ac:dyDescent="0.2">
      <c r="A11" t="str">
        <f>toutes!AG55</f>
        <v>Montérégie Est</v>
      </c>
      <c r="B11" s="166">
        <f>toutes!AR$62</f>
        <v>1303.3500000000001</v>
      </c>
      <c r="C11" s="166">
        <f>toutes!AS$62</f>
        <v>1335.6499999999999</v>
      </c>
      <c r="D11" s="166">
        <f>toutes!AT$62</f>
        <v>1392.8</v>
      </c>
      <c r="E11" s="166">
        <f>toutes!AU$62</f>
        <v>1262.8166666666666</v>
      </c>
      <c r="F11" s="166" t="e">
        <f>toutes!AV$62</f>
        <v>#DIV/0!</v>
      </c>
      <c r="G11" s="166" t="e">
        <f>toutes!AW$62</f>
        <v>#DIV/0!</v>
      </c>
    </row>
    <row r="12" spans="1:7" x14ac:dyDescent="0.2">
      <c r="A12" t="str">
        <f>toutes!AG63</f>
        <v>Montérégie Ouest</v>
      </c>
      <c r="B12" s="166">
        <f>toutes!AR$69</f>
        <v>1350.7</v>
      </c>
      <c r="C12" s="166">
        <f>toutes!AS$69</f>
        <v>1388.22</v>
      </c>
      <c r="D12" s="166">
        <f>toutes!AT$69</f>
        <v>1419.9600000000003</v>
      </c>
      <c r="E12" s="166">
        <f>toutes!AU$69</f>
        <v>1271.48</v>
      </c>
      <c r="F12" s="166" t="e">
        <f>toutes!AV$69</f>
        <v>#DIV/0!</v>
      </c>
      <c r="G12" s="166" t="e">
        <f>toutes!AW$69</f>
        <v>#DIV/0!</v>
      </c>
    </row>
    <row r="13" spans="1:7" x14ac:dyDescent="0.2">
      <c r="A13" t="str">
        <f>toutes!AG70</f>
        <v>Outaouais</v>
      </c>
      <c r="B13" s="166">
        <f>toutes!AR$74</f>
        <v>1166.2666666666667</v>
      </c>
      <c r="C13" s="166">
        <f>toutes!AS$74</f>
        <v>1227.4000000000001</v>
      </c>
      <c r="D13" s="166">
        <f>toutes!AT$74</f>
        <v>1238.3999999999999</v>
      </c>
      <c r="E13" s="166">
        <f>toutes!AU$74</f>
        <v>1104.8666666666668</v>
      </c>
      <c r="F13" s="166" t="e">
        <f>toutes!AV$74</f>
        <v>#DIV/0!</v>
      </c>
      <c r="G13" s="166" t="e">
        <f>toutes!AW$74</f>
        <v>#DIV/0!</v>
      </c>
    </row>
    <row r="14" spans="1:7" x14ac:dyDescent="0.2">
      <c r="A14" t="str">
        <f>toutes!AG75</f>
        <v>Saguenay-Lac-St-Jean</v>
      </c>
      <c r="B14" s="166">
        <f>toutes!AR$77</f>
        <v>941</v>
      </c>
      <c r="C14" s="166">
        <f>toutes!AS$77</f>
        <v>907.7</v>
      </c>
      <c r="D14" s="166">
        <f>toutes!AT$77</f>
        <v>985.8</v>
      </c>
      <c r="E14" s="166">
        <f>toutes!AU$77</f>
        <v>839.5</v>
      </c>
      <c r="F14" s="166" t="e">
        <f>toutes!AV$77</f>
        <v>#DIV/0!</v>
      </c>
      <c r="G14" s="166" t="e">
        <f>toutes!AW$77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Graphiques</vt:lpstr>
      </vt:variant>
      <vt:variant>
        <vt:i4>13</vt:i4>
      </vt:variant>
    </vt:vector>
  </HeadingPairs>
  <TitlesOfParts>
    <vt:vector size="21" baseType="lpstr">
      <vt:lpstr>toutes</vt:lpstr>
      <vt:lpstr>2010</vt:lpstr>
      <vt:lpstr>2011</vt:lpstr>
      <vt:lpstr>2012</vt:lpstr>
      <vt:lpstr>2013</vt:lpstr>
      <vt:lpstr>2014</vt:lpstr>
      <vt:lpstr>2015</vt:lpstr>
      <vt:lpstr>Feuil1</vt:lpstr>
      <vt:lpstr>Graph Moyennes régionales</vt:lpstr>
      <vt:lpstr>Graph Bas-St-Laurent</vt:lpstr>
      <vt:lpstr>Graph Cap. Nationale</vt:lpstr>
      <vt:lpstr>Graph Centre Qc</vt:lpstr>
      <vt:lpstr>Graph Chaudière-Appalaches</vt:lpstr>
      <vt:lpstr>Graph Estrie</vt:lpstr>
      <vt:lpstr>Graph Lanaudière</vt:lpstr>
      <vt:lpstr>Graph Laurentides</vt:lpstr>
      <vt:lpstr>Graph Mauricie</vt:lpstr>
      <vt:lpstr>Graph M-E</vt:lpstr>
      <vt:lpstr>Graph M-O</vt:lpstr>
      <vt:lpstr>Graph Outaouais</vt:lpstr>
      <vt:lpstr>Graph Saguenay</vt:lpstr>
    </vt:vector>
  </TitlesOfParts>
  <Company>Mapaq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agrg046</dc:creator>
  <cp:lastModifiedBy>agrg046</cp:lastModifiedBy>
  <cp:lastPrinted>2014-09-12T16:02:31Z</cp:lastPrinted>
  <dcterms:created xsi:type="dcterms:W3CDTF">2012-06-20T01:00:59Z</dcterms:created>
  <dcterms:modified xsi:type="dcterms:W3CDTF">2014-10-01T13:46:28Z</dcterms:modified>
</cp:coreProperties>
</file>