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9_0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5865" yWindow="65491" windowWidth="6180" windowHeight="8325" activeTab="1"/>
  </bookViews>
  <sheets>
    <sheet name="Auteurs" sheetId="1" r:id="rId1"/>
    <sheet name="Elevage" sheetId="2" r:id="rId2"/>
    <sheet name="Fumier" sheetId="3" r:id="rId3"/>
    <sheet name="Achats_Aliments" sheetId="4" r:id="rId4"/>
    <sheet name="Bilan" sheetId="5" r:id="rId5"/>
    <sheet name="Standard" sheetId="6" r:id="rId6"/>
    <sheet name="Gra1_N" sheetId="7" r:id="rId7"/>
    <sheet name="Gra2_N" sheetId="8" r:id="rId8"/>
    <sheet name="Gra_P" sheetId="9" r:id="rId9"/>
    <sheet name="Aide" sheetId="10" r:id="rId10"/>
    <sheet name="Références" sheetId="11" r:id="rId11"/>
    <sheet name="Enregistrement" sheetId="12" r:id="rId12"/>
    <sheet name="feuille 12 " sheetId="13" r:id="rId13"/>
  </sheets>
  <externalReferences>
    <externalReference r:id="rId16"/>
  </externalReferences>
  <definedNames>
    <definedName name="page1">'Auteurs'!$A$1:$H$52</definedName>
    <definedName name="page2">'Elevage'!$A$1:$G$79</definedName>
    <definedName name="page3">'Fumier'!$A$1:$H$108</definedName>
    <definedName name="_xlnm.Print_Area" localSheetId="3">'Achats_Aliments'!$A$1:$H$52</definedName>
    <definedName name="_xlnm.Print_Area" localSheetId="1">'Elevage'!$B$2:$G$53</definedName>
    <definedName name="_xlnm.Print_Area" localSheetId="10">'Références'!$A$1:$H$159</definedName>
  </definedNames>
  <calcPr fullCalcOnLoad="1"/>
</workbook>
</file>

<file path=xl/comments2.xml><?xml version="1.0" encoding="utf-8"?>
<comments xmlns="http://schemas.openxmlformats.org/spreadsheetml/2006/main">
  <authors>
    <author>M.A.P.A.Q.</author>
  </authors>
  <commentList>
    <comment ref="B15" authorId="0">
      <text>
        <r>
          <rPr>
            <b/>
            <sz val="8"/>
            <rFont val="Tahoma"/>
            <family val="0"/>
          </rPr>
          <t xml:space="preserve">Chaque ligne contient un menu déroulant
</t>
        </r>
      </text>
    </comment>
  </commentList>
</comments>
</file>

<file path=xl/comments3.xml><?xml version="1.0" encoding="utf-8"?>
<comments xmlns="http://schemas.openxmlformats.org/spreadsheetml/2006/main">
  <authors>
    <author>Charles Bachand</author>
  </authors>
  <commentList>
    <comment ref="C25" authorId="0">
      <text>
        <r>
          <rPr>
            <b/>
            <sz val="8"/>
            <rFont val="Tahoma"/>
            <family val="0"/>
          </rPr>
          <t>Choisir le type de fumier</t>
        </r>
        <r>
          <rPr>
            <sz val="8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0"/>
          </rPr>
          <t>Saisir les valeures que vous souhaitez utiliser et choisir « Autre fumier» dans «Choisir le type de fumier»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<sst xmlns="http://schemas.openxmlformats.org/spreadsheetml/2006/main" count="556" uniqueCount="317">
  <si>
    <t>"BILSIMPL"</t>
  </si>
  <si>
    <t>Calcul des rejets d'azote et de phosphore des porcs</t>
  </si>
  <si>
    <t>par la méthode dite "du bilan simplifié"</t>
  </si>
  <si>
    <t>D'après le document du CORPEN</t>
  </si>
  <si>
    <t xml:space="preserve">Estimation des rejets d'azote </t>
  </si>
  <si>
    <t>et de phosphore des élevages de porcs.</t>
  </si>
  <si>
    <t>C.O.R.P.E.N</t>
  </si>
  <si>
    <t>Comité d'orientation pour la réduction de la pollution des eaux par</t>
  </si>
  <si>
    <t>les nitrates, les phosphates et les produits phytosanitaires provenant</t>
  </si>
  <si>
    <t>des activités agricoles</t>
  </si>
  <si>
    <t>L'utilisation de cet outil ou des résultats qu'il produit est faite sous l'entière responsabilité</t>
  </si>
  <si>
    <t>Le bilan simplifié a été développé à partir du modèle INRA</t>
  </si>
  <si>
    <t>de calcul des rejets</t>
  </si>
  <si>
    <t xml:space="preserve">Réalisation J.Y. Dourmad </t>
  </si>
  <si>
    <t>Références</t>
  </si>
  <si>
    <t>de l'élevage</t>
  </si>
  <si>
    <t>PERIODE de BILAN</t>
  </si>
  <si>
    <t>Jour</t>
  </si>
  <si>
    <t>Mois</t>
  </si>
  <si>
    <t>Année</t>
  </si>
  <si>
    <t>Date début</t>
  </si>
  <si>
    <t>Date fin</t>
  </si>
  <si>
    <t>Durée</t>
  </si>
  <si>
    <t>Zone de calcul</t>
  </si>
  <si>
    <t>ANIMAUX - EFFECTIFS</t>
  </si>
  <si>
    <t>Effectif</t>
  </si>
  <si>
    <t>Total</t>
  </si>
  <si>
    <t>Nombre</t>
  </si>
  <si>
    <t>Poids vif</t>
  </si>
  <si>
    <t>kg</t>
  </si>
  <si>
    <t>Pds Sorti</t>
  </si>
  <si>
    <t>N Sorti</t>
  </si>
  <si>
    <t>P Sorti</t>
  </si>
  <si>
    <t>Pds Entré</t>
  </si>
  <si>
    <t>N Entré</t>
  </si>
  <si>
    <t>P entré</t>
  </si>
  <si>
    <t>-</t>
  </si>
  <si>
    <t xml:space="preserve"> ACHATS D'ANIMAUX</t>
  </si>
  <si>
    <t>Quantité</t>
  </si>
  <si>
    <t>Protéines</t>
  </si>
  <si>
    <t>Phosphore</t>
  </si>
  <si>
    <t>Azote</t>
  </si>
  <si>
    <t>%</t>
  </si>
  <si>
    <t>P, kg</t>
  </si>
  <si>
    <t>Type d'aliment</t>
  </si>
  <si>
    <t>ALIMENTS -  STOCKS FIN</t>
  </si>
  <si>
    <t>ALIMENTS -  ACHATS</t>
  </si>
  <si>
    <t>au</t>
  </si>
  <si>
    <t>ELEVAGE</t>
  </si>
  <si>
    <t>Début de période</t>
  </si>
  <si>
    <t>Fin de période</t>
  </si>
  <si>
    <t>BILAN AZOTE</t>
  </si>
  <si>
    <t>Bâtiment</t>
  </si>
  <si>
    <t>Emanation gazeuses, %</t>
  </si>
  <si>
    <t>% ingéré</t>
  </si>
  <si>
    <t>Aliment</t>
  </si>
  <si>
    <t>Excrété</t>
  </si>
  <si>
    <t>Emanation gazeuses  (N-NH3)</t>
  </si>
  <si>
    <t>Effluent</t>
  </si>
  <si>
    <t>BILAN DE PHOSPHORE</t>
  </si>
  <si>
    <t>P2O5</t>
  </si>
  <si>
    <t>BILAN ENTREES/SORTIES</t>
  </si>
  <si>
    <t>Achats</t>
  </si>
  <si>
    <t>Ventes</t>
  </si>
  <si>
    <t>Bilan</t>
  </si>
  <si>
    <t>Aliments</t>
  </si>
  <si>
    <t xml:space="preserve">     - kg</t>
  </si>
  <si>
    <t xml:space="preserve">     - Azote, kg</t>
  </si>
  <si>
    <t>(N entré)</t>
  </si>
  <si>
    <t xml:space="preserve">     - Phosphore, kg</t>
  </si>
  <si>
    <t>(P entré)</t>
  </si>
  <si>
    <t>(N retenu)</t>
  </si>
  <si>
    <t>(P retenu)</t>
  </si>
  <si>
    <t>BILAN</t>
  </si>
  <si>
    <t>N</t>
  </si>
  <si>
    <t>P</t>
  </si>
  <si>
    <t>Ingéré</t>
  </si>
  <si>
    <t>Retenu</t>
  </si>
  <si>
    <t>Air</t>
  </si>
  <si>
    <t>Lisier</t>
  </si>
  <si>
    <t>Méthode</t>
  </si>
  <si>
    <t>AZOTE</t>
  </si>
  <si>
    <t>Reproducteurs</t>
  </si>
  <si>
    <t>PHOSPHORE - P2O5</t>
  </si>
  <si>
    <t>"Estimation des rejets d'azote et de</t>
  </si>
  <si>
    <t xml:space="preserve">- L'utilisation de cet outil de calcul  est libre et gratuit, vous pouvez également </t>
  </si>
  <si>
    <t xml:space="preserve">  le diffuser, mais seulement à titre gratuit.</t>
  </si>
  <si>
    <t>- Afin que nous puissions vous informer du développement éventuel de nouvelles versions,</t>
  </si>
  <si>
    <t xml:space="preserve">   il serait souhaitable de vous enregistrer comme utilisateur</t>
  </si>
  <si>
    <t>Par courrier ou par fax à l'adresse ci-dessous</t>
  </si>
  <si>
    <t>Par Email à l'adresse ci-dessous</t>
  </si>
  <si>
    <t>- Nous souhaiterions également recevoir vos remarques concernant cet outil</t>
  </si>
  <si>
    <t xml:space="preserve">  afin que nous puissions éventuellement l'améliorer</t>
  </si>
  <si>
    <t>Enregistrement</t>
  </si>
  <si>
    <t>Nom :           ---------------------------------------------------------------</t>
  </si>
  <si>
    <t>Prénom :      ---------------------------------------------------------------</t>
  </si>
  <si>
    <t>Organisme :  ---------------------------------------------------------------------------------------------------------------</t>
  </si>
  <si>
    <t>Adresse :      ---------------------------------------------------------------------------------------------------------------</t>
  </si>
  <si>
    <t xml:space="preserve">                    ---------------------------------------------------------------------------------------------------------------</t>
  </si>
  <si>
    <t>Téléphone :   ---------------------------------------------------------------</t>
  </si>
  <si>
    <t>Fax :             ---------------------------------------------------------------</t>
  </si>
  <si>
    <t>Email            ---------------------------------------------------------------</t>
  </si>
  <si>
    <t>Date d'enregistrement :  ---------------------------------------------------------------</t>
  </si>
  <si>
    <t>Potentiel</t>
  </si>
  <si>
    <t xml:space="preserve">Aliment </t>
  </si>
  <si>
    <t>kg/tête</t>
  </si>
  <si>
    <t>Poids</t>
  </si>
  <si>
    <t>FUMIER ET LISIER</t>
  </si>
  <si>
    <t>Volume pour la période</t>
  </si>
  <si>
    <t>M.C.</t>
  </si>
  <si>
    <t>Analyses</t>
  </si>
  <si>
    <t>M.S.</t>
  </si>
  <si>
    <t>N total</t>
  </si>
  <si>
    <t>K</t>
  </si>
  <si>
    <t>kg/t</t>
  </si>
  <si>
    <t>Nbr Anal</t>
  </si>
  <si>
    <t>Valeur moyenne</t>
  </si>
  <si>
    <t xml:space="preserve">EST UNE ADAPTATION QUÉBÉCOISE </t>
  </si>
  <si>
    <t>DE</t>
  </si>
  <si>
    <t>Impact des modifications de conduite alimentaire</t>
  </si>
  <si>
    <t xml:space="preserve"> et des performances techniques.Janvier 1996</t>
  </si>
  <si>
    <t>Estimation des rejets d'azote et de phosphore</t>
  </si>
  <si>
    <t>Estimé des superficies nécessaires</t>
  </si>
  <si>
    <t>ha</t>
  </si>
  <si>
    <t>MS</t>
  </si>
  <si>
    <t>CONSEILLER</t>
  </si>
  <si>
    <t>TEL:</t>
  </si>
  <si>
    <t>Volume</t>
  </si>
  <si>
    <t>Ville</t>
  </si>
  <si>
    <t>Adresse</t>
  </si>
  <si>
    <t>kg de rejet N</t>
  </si>
  <si>
    <t>Mortalité</t>
  </si>
  <si>
    <t>nbre</t>
  </si>
  <si>
    <t>Responsable</t>
  </si>
  <si>
    <t>ÉLEVAGE</t>
  </si>
  <si>
    <t>RÉEL</t>
  </si>
  <si>
    <t>Poulette consommation</t>
  </si>
  <si>
    <t>Poulette incubation</t>
  </si>
  <si>
    <t>Pondeuse consommation</t>
  </si>
  <si>
    <t>Pondeuse incubation</t>
  </si>
  <si>
    <t>Poulet à rôtir</t>
  </si>
  <si>
    <t>Poulet à griller (Mâle)</t>
  </si>
  <si>
    <t>Poulet à griller (Femelle)</t>
  </si>
  <si>
    <t>Dindon à griller</t>
  </si>
  <si>
    <t>Dindon lourd</t>
  </si>
  <si>
    <t>Autruches élevage</t>
  </si>
  <si>
    <t>Émeu élevage</t>
  </si>
  <si>
    <t>Autruches reproduction</t>
  </si>
  <si>
    <t>Émeu reproduction</t>
  </si>
  <si>
    <t>Autruche engraissement</t>
  </si>
  <si>
    <t>Émeu engraissement</t>
  </si>
  <si>
    <t xml:space="preserve">Cailles </t>
  </si>
  <si>
    <t>Faisans</t>
  </si>
  <si>
    <t>Pintades</t>
  </si>
  <si>
    <t>Cailles reproduction</t>
  </si>
  <si>
    <t xml:space="preserve">VENTES </t>
  </si>
  <si>
    <t>Moyen</t>
  </si>
  <si>
    <t xml:space="preserve">Oeufs </t>
  </si>
  <si>
    <t>Oies/Canards</t>
  </si>
  <si>
    <t>Cailles/Faisans/Pintades</t>
  </si>
  <si>
    <t>Œufs</t>
  </si>
  <si>
    <t>Fumier</t>
  </si>
  <si>
    <t>Oiseau</t>
  </si>
  <si>
    <t>l/jr</t>
  </si>
  <si>
    <t>FUMIER</t>
  </si>
  <si>
    <t>MC</t>
  </si>
  <si>
    <t>Remplacement</t>
  </si>
  <si>
    <t>Chair</t>
  </si>
  <si>
    <t>Reproduct.</t>
  </si>
  <si>
    <t>Remplace.</t>
  </si>
  <si>
    <t xml:space="preserve">Reproducteurs </t>
  </si>
  <si>
    <t>À chair</t>
  </si>
  <si>
    <t>Masse d'œuf (kg)</t>
  </si>
  <si>
    <t>C.A.</t>
  </si>
  <si>
    <t>Compost.</t>
  </si>
  <si>
    <t>Oeufs</t>
  </si>
  <si>
    <t>Oiseaux</t>
  </si>
  <si>
    <t>Élevage et à chair</t>
  </si>
  <si>
    <t>Gain poids</t>
  </si>
  <si>
    <t>Reprod</t>
  </si>
  <si>
    <t>Élevage</t>
  </si>
  <si>
    <t>reproducteur</t>
  </si>
  <si>
    <t>Excrétion N</t>
  </si>
  <si>
    <t>chair voll</t>
  </si>
  <si>
    <t>chair poulet</t>
  </si>
  <si>
    <t>œufs</t>
  </si>
  <si>
    <t>Élevage remplacement</t>
  </si>
  <si>
    <t>Oiseaux à chair</t>
  </si>
  <si>
    <t>CRAAQ 01</t>
  </si>
  <si>
    <t>REJET N CRAAQ</t>
  </si>
  <si>
    <t>Canards de Pékin</t>
  </si>
  <si>
    <t>Canard Barbarie/Mulard</t>
  </si>
  <si>
    <t>REJET P CRAAQ</t>
  </si>
  <si>
    <t>REJET N POTENTIEL</t>
  </si>
  <si>
    <t>REJET P POTENTIEL</t>
  </si>
  <si>
    <t>Sortie</t>
  </si>
  <si>
    <t>Litière</t>
  </si>
  <si>
    <t>GRILLER</t>
  </si>
  <si>
    <t>PONDEUSE</t>
  </si>
  <si>
    <t>Fertilité</t>
  </si>
  <si>
    <t>Proportion</t>
  </si>
  <si>
    <t>Saturation</t>
  </si>
  <si>
    <t>des sols</t>
  </si>
  <si>
    <t>251 - 500</t>
  </si>
  <si>
    <t>TON</t>
  </si>
  <si>
    <t>Reproducteur</t>
  </si>
  <si>
    <t>par 1000 kg produit</t>
  </si>
  <si>
    <t>par les animaux d'élevage, juin 2001, CRAAQ</t>
  </si>
  <si>
    <t>BAVOLAIL</t>
  </si>
  <si>
    <t>POUR LES ÉLEVAGES AVICOLES</t>
  </si>
  <si>
    <t xml:space="preserve">      Le document du comité agroenvironnement du CRAAQ</t>
  </si>
  <si>
    <t>de l'utilisateur, et ne saurait engager celle du CRAAQ</t>
  </si>
  <si>
    <t>Réalisé par Charles Bachand, agronome</t>
  </si>
  <si>
    <t>MAPAQ, Montérégie-EST</t>
  </si>
  <si>
    <t xml:space="preserve">BAVOLAIL est une adaptation à partir de </t>
  </si>
  <si>
    <t>"BAVOLAIL"</t>
  </si>
  <si>
    <t>par la méthode du bilan alimentaire</t>
  </si>
  <si>
    <t>Calcul des rejets d'azote et de phosphore des élevages avicoles</t>
  </si>
  <si>
    <t>Réalisé d'après le document du CRAAQ</t>
  </si>
  <si>
    <t xml:space="preserve"> Juin  2001</t>
  </si>
  <si>
    <t>phosphore des animaux d'élevages. Productions avicoles"</t>
  </si>
  <si>
    <t>Ministère de l'Agriculture et de l'Alimentation du Québec</t>
  </si>
  <si>
    <t xml:space="preserve">   Téléc.: (450) 778-6540</t>
  </si>
  <si>
    <t>At. De Charles Bachand</t>
  </si>
  <si>
    <t>charles.bachand@agr.gouv.qc.ca</t>
  </si>
  <si>
    <t>SUPERFICIES DISPONIBLES</t>
  </si>
  <si>
    <t>Cultures</t>
  </si>
  <si>
    <t>Rendements</t>
  </si>
  <si>
    <t>P2O5 / HECTARE</t>
  </si>
  <si>
    <t>Cultute</t>
  </si>
  <si>
    <t>Rendement</t>
  </si>
  <si>
    <t>Faible</t>
  </si>
  <si>
    <t>Bon</t>
  </si>
  <si>
    <t>Mais</t>
  </si>
  <si>
    <t xml:space="preserve">Bon </t>
  </si>
  <si>
    <t xml:space="preserve"> 0 - 30</t>
  </si>
  <si>
    <t>---</t>
  </si>
  <si>
    <t>Céréales &amp; Soya</t>
  </si>
  <si>
    <t xml:space="preserve">Moyen </t>
  </si>
  <si>
    <t>31 - 60</t>
  </si>
  <si>
    <t>&lt; 5</t>
  </si>
  <si>
    <t>Pairies &amp; Pâturages</t>
  </si>
  <si>
    <t>61 - 90</t>
  </si>
  <si>
    <t>5 à 10</t>
  </si>
  <si>
    <t>91 - 120</t>
  </si>
  <si>
    <t>&gt;10</t>
  </si>
  <si>
    <t>121 - 150</t>
  </si>
  <si>
    <t xml:space="preserve"> 151 - 250</t>
  </si>
  <si>
    <t>&lt;5</t>
  </si>
  <si>
    <t>501 et +</t>
  </si>
  <si>
    <t>TOTAL (%)</t>
  </si>
  <si>
    <t>Dépôt maximum en kg de P2O5 par hectare</t>
  </si>
  <si>
    <t>Chaque cellule contient un menu déroulant permettant de choisir la culture, le rendement, la fertilité,</t>
  </si>
  <si>
    <t>Rendement:</t>
  </si>
  <si>
    <t>Bon : &gt;9 ton de mais, &gt; 3,5 ton de soya ou céréales, &gt;7 ton de prairies et pâturages</t>
  </si>
  <si>
    <t xml:space="preserve"> la saturation en P. Déterminez la proportion des sols dans chaque niveau de fertilité de l'entreprise.</t>
  </si>
  <si>
    <t>Max./ hec.</t>
  </si>
  <si>
    <r>
      <t>P</t>
    </r>
    <r>
      <rPr>
        <sz val="8"/>
        <rFont val="Arial"/>
        <family val="2"/>
      </rPr>
      <t>2</t>
    </r>
    <r>
      <rPr>
        <sz val="10"/>
        <rFont val="Arial"/>
        <family val="2"/>
      </rPr>
      <t>O</t>
    </r>
    <r>
      <rPr>
        <sz val="8"/>
        <rFont val="Arial"/>
        <family val="2"/>
      </rPr>
      <t>5</t>
    </r>
  </si>
  <si>
    <t>1355, rue Gauvin, bureau 3300</t>
  </si>
  <si>
    <t>St-Hyacinthe, Québec</t>
  </si>
  <si>
    <t>J2S 8W7</t>
  </si>
  <si>
    <t>-------------------------------------------------------------------------------------------------------------------------------------</t>
  </si>
  <si>
    <t>Moyen: 7 à 9 ton de mais, 2,5 à 3,5 ton de soya ou céréales, 5 à 7 ton de prairies et pâturages</t>
  </si>
  <si>
    <t>Faible: &lt; 7 ton de mais, &lt; 2,5 ton de soya ou céréales, &lt; 5 ton de prairies et pâturages</t>
  </si>
  <si>
    <t>(Doit être égale à 100 %)</t>
  </si>
  <si>
    <t>Densité</t>
  </si>
  <si>
    <r>
      <t>kg/m</t>
    </r>
    <r>
      <rPr>
        <vertAlign val="superscript"/>
        <sz val="10"/>
        <rFont val="Arial"/>
        <family val="2"/>
      </rPr>
      <t>3</t>
    </r>
  </si>
  <si>
    <t>annuelle</t>
  </si>
  <si>
    <t>Rotation</t>
  </si>
  <si>
    <t>d'élevage</t>
  </si>
  <si>
    <t>jrs</t>
  </si>
  <si>
    <t>Oie</t>
  </si>
  <si>
    <t>Étudié</t>
  </si>
  <si>
    <t>Nbre</t>
  </si>
  <si>
    <t>LISIER</t>
  </si>
  <si>
    <t>VALEUR</t>
  </si>
  <si>
    <t>Analysé</t>
  </si>
  <si>
    <t>STANDARD</t>
  </si>
  <si>
    <t>Matière sèche</t>
  </si>
  <si>
    <r>
      <t>P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O</t>
    </r>
    <r>
      <rPr>
        <b/>
        <vertAlign val="subscript"/>
        <sz val="10"/>
        <color indexed="8"/>
        <rFont val="Arial"/>
        <family val="2"/>
      </rPr>
      <t>5</t>
    </r>
  </si>
  <si>
    <r>
      <t>K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0</t>
    </r>
  </si>
  <si>
    <r>
      <t>kg de rejet P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5</t>
    </r>
  </si>
  <si>
    <t>Choisir élevage</t>
  </si>
  <si>
    <t>Téléphone: (450) 778-6530 poste 231</t>
  </si>
  <si>
    <t>Dinde remplacement</t>
  </si>
  <si>
    <t>Dinde reproducteur</t>
  </si>
  <si>
    <t>Début poussin 20%</t>
  </si>
  <si>
    <t>Croiss poussin 18 %</t>
  </si>
  <si>
    <t>Croiss poulette 16 %</t>
  </si>
  <si>
    <t>Pré-ponte 18 %</t>
  </si>
  <si>
    <t>Ponte 17 %</t>
  </si>
  <si>
    <t>Poulet à griller M</t>
  </si>
  <si>
    <t>Poulet à griller F</t>
  </si>
  <si>
    <t>Autre valeur standard</t>
  </si>
  <si>
    <t>Choisir le type de fumier</t>
  </si>
  <si>
    <t>Poulet M &amp; F &amp; Rôtir</t>
  </si>
  <si>
    <t>Autre fumier</t>
  </si>
  <si>
    <t>Coq incubation</t>
  </si>
  <si>
    <t>Poulette &amp; coq incubation</t>
  </si>
  <si>
    <t>Pondeuse consommation Séché</t>
  </si>
  <si>
    <t xml:space="preserve">Poulet M &amp; F </t>
  </si>
  <si>
    <t>Poulette &amp; pondeuse incubation</t>
  </si>
  <si>
    <t>Poulette &amp; pondeuse cons.</t>
  </si>
  <si>
    <t>Autruche d'élevage</t>
  </si>
  <si>
    <t>Émeu d'élevage</t>
  </si>
  <si>
    <t>Dinde de remplacement</t>
  </si>
  <si>
    <t>Dinde de reproduction</t>
  </si>
  <si>
    <t>Autruche de reproduction</t>
  </si>
  <si>
    <t>Autruche d'engraissement</t>
  </si>
  <si>
    <t>Émeu de reproduction</t>
  </si>
  <si>
    <t>Émeu d'engraissement</t>
  </si>
  <si>
    <t>Canard de Pékin</t>
  </si>
  <si>
    <t>Canard de Barbarie</t>
  </si>
  <si>
    <t>Caille</t>
  </si>
  <si>
    <t>Caille de reproduction</t>
  </si>
  <si>
    <t>Faisan</t>
  </si>
  <si>
    <t>Pintade</t>
  </si>
</sst>
</file>

<file path=xl/styles.xml><?xml version="1.0" encoding="utf-8"?>
<styleSheet xmlns="http://schemas.openxmlformats.org/spreadsheetml/2006/main">
  <numFmts count="4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\ ;\(&quot;$&quot;#,##0\)"/>
    <numFmt numFmtId="181" formatCode="&quot;$&quot;#,##0\ ;[Red]\(&quot;$&quot;#,##0\)"/>
    <numFmt numFmtId="182" formatCode="&quot;$&quot;#,##0.00\ ;\(&quot;$&quot;#,##0.00\)"/>
    <numFmt numFmtId="183" formatCode="&quot;$&quot;#,##0.00\ ;[Red]\(&quot;$&quot;#,##0.00\)"/>
    <numFmt numFmtId="184" formatCode="m/d/yy"/>
    <numFmt numFmtId="185" formatCode="m/d/yy\ h:mm"/>
    <numFmt numFmtId="186" formatCode="m/d"/>
    <numFmt numFmtId="187" formatCode="0.0"/>
    <numFmt numFmtId="188" formatCode="0.0%"/>
    <numFmt numFmtId="189" formatCode="#,##0.0"/>
    <numFmt numFmtId="190" formatCode="0.000%"/>
    <numFmt numFmtId="191" formatCode="0.00000"/>
    <numFmt numFmtId="192" formatCode="0.0000"/>
    <numFmt numFmtId="193" formatCode="0.000"/>
    <numFmt numFmtId="194" formatCode="0.000000"/>
    <numFmt numFmtId="195" formatCode="#,##0.000"/>
    <numFmt numFmtId="196" formatCode="#,##0.0000"/>
  </numFmts>
  <fonts count="42">
    <font>
      <sz val="10"/>
      <color indexed="24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0"/>
      <color indexed="24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0"/>
      <color indexed="12"/>
      <name val="Arial"/>
      <family val="2"/>
    </font>
    <font>
      <sz val="14"/>
      <color indexed="12"/>
      <name val="Arial"/>
      <family val="2"/>
    </font>
    <font>
      <sz val="12"/>
      <color indexed="12"/>
      <name val="Arial"/>
      <family val="2"/>
    </font>
    <font>
      <sz val="6"/>
      <color indexed="8"/>
      <name val="Arial"/>
      <family val="2"/>
    </font>
    <font>
      <sz val="10"/>
      <name val="Arial"/>
      <family val="0"/>
    </font>
    <font>
      <sz val="10"/>
      <color indexed="39"/>
      <name val="Arial"/>
      <family val="2"/>
    </font>
    <font>
      <b/>
      <sz val="10"/>
      <color indexed="10"/>
      <name val="Arial"/>
      <family val="2"/>
    </font>
    <font>
      <b/>
      <sz val="12"/>
      <color indexed="39"/>
      <name val="Arial"/>
      <family val="0"/>
    </font>
    <font>
      <sz val="14"/>
      <color indexed="8"/>
      <name val="Arial"/>
      <family val="2"/>
    </font>
    <font>
      <b/>
      <sz val="12"/>
      <color indexed="8"/>
      <name val="Arial"/>
      <family val="0"/>
    </font>
    <font>
      <i/>
      <u val="single"/>
      <sz val="12"/>
      <color indexed="8"/>
      <name val="Arial"/>
      <family val="2"/>
    </font>
    <font>
      <b/>
      <i/>
      <sz val="13"/>
      <color indexed="8"/>
      <name val="Arial"/>
      <family val="0"/>
    </font>
    <font>
      <sz val="12"/>
      <color indexed="24"/>
      <name val="Arial"/>
      <family val="2"/>
    </font>
    <font>
      <sz val="10"/>
      <color indexed="10"/>
      <name val="Arial"/>
      <family val="2"/>
    </font>
    <font>
      <b/>
      <sz val="10"/>
      <color indexed="6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bscript"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sz val="10"/>
      <color indexed="48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darkTrellis"/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69" fontId="19" fillId="0" borderId="0" applyFont="0" applyFill="0" applyBorder="0" applyAlignment="0" applyProtection="0"/>
    <xf numFmtId="182" fontId="0" fillId="0" borderId="0" applyFont="0" applyFill="0" applyBorder="0" applyAlignment="0" applyProtection="0"/>
    <xf numFmtId="168" fontId="19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0" borderId="0">
      <alignment/>
      <protection/>
    </xf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2" fontId="0" fillId="0" borderId="0" applyFont="0" applyFill="0" applyBorder="0" applyAlignment="0" applyProtection="0"/>
  </cellStyleXfs>
  <cellXfs count="478">
    <xf numFmtId="0" fontId="0" fillId="0" borderId="0" xfId="0" applyAlignment="1">
      <alignment/>
    </xf>
    <xf numFmtId="15" fontId="5" fillId="0" borderId="2" xfId="0" applyNumberFormat="1" applyFont="1" applyBorder="1" applyAlignment="1">
      <alignment horizontal="center"/>
    </xf>
    <xf numFmtId="15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3" fontId="5" fillId="0" borderId="3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5" fontId="4" fillId="0" borderId="0" xfId="0" applyNumberFormat="1" applyFont="1" applyBorder="1" applyAlignment="1">
      <alignment horizontal="center"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187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3" borderId="5" xfId="0" applyNumberFormat="1" applyFont="1" applyFill="1" applyBorder="1" applyAlignment="1">
      <alignment/>
    </xf>
    <xf numFmtId="2" fontId="5" fillId="3" borderId="2" xfId="0" applyNumberFormat="1" applyFont="1" applyFill="1" applyBorder="1" applyAlignment="1">
      <alignment horizontal="right"/>
    </xf>
    <xf numFmtId="2" fontId="5" fillId="3" borderId="3" xfId="0" applyNumberFormat="1" applyFont="1" applyFill="1" applyBorder="1" applyAlignment="1">
      <alignment horizontal="right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2" fontId="5" fillId="3" borderId="0" xfId="0" applyNumberFormat="1" applyFont="1" applyFill="1" applyAlignment="1">
      <alignment/>
    </xf>
    <xf numFmtId="2" fontId="4" fillId="3" borderId="5" xfId="0" applyNumberFormat="1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7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/>
    </xf>
    <xf numFmtId="3" fontId="5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/>
    </xf>
    <xf numFmtId="0" fontId="5" fillId="0" borderId="0" xfId="0" applyFont="1" applyAlignment="1">
      <alignment horizontal="center"/>
    </xf>
    <xf numFmtId="188" fontId="5" fillId="0" borderId="5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3" fontId="5" fillId="0" borderId="5" xfId="0" applyNumberFormat="1" applyFont="1" applyBorder="1" applyAlignment="1">
      <alignment horizontal="center"/>
    </xf>
    <xf numFmtId="188" fontId="5" fillId="0" borderId="5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0" xfId="0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/>
      <protection/>
    </xf>
    <xf numFmtId="3" fontId="5" fillId="2" borderId="5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187" fontId="5" fillId="0" borderId="0" xfId="0" applyNumberFormat="1" applyFont="1" applyFill="1" applyAlignment="1" applyProtection="1">
      <alignment/>
      <protection/>
    </xf>
    <xf numFmtId="0" fontId="5" fillId="4" borderId="0" xfId="0" applyNumberFormat="1" applyFont="1" applyFill="1" applyAlignment="1" applyProtection="1">
      <alignment/>
      <protection hidden="1"/>
    </xf>
    <xf numFmtId="0" fontId="0" fillId="4" borderId="0" xfId="0" applyNumberFormat="1" applyFill="1" applyAlignment="1" applyProtection="1">
      <alignment/>
      <protection hidden="1"/>
    </xf>
    <xf numFmtId="0" fontId="0" fillId="4" borderId="0" xfId="0" applyFill="1" applyAlignment="1">
      <alignment/>
    </xf>
    <xf numFmtId="0" fontId="5" fillId="5" borderId="3" xfId="0" applyFont="1" applyFill="1" applyBorder="1" applyAlignment="1" applyProtection="1">
      <alignment/>
      <protection locked="0"/>
    </xf>
    <xf numFmtId="3" fontId="5" fillId="5" borderId="3" xfId="0" applyNumberFormat="1" applyFont="1" applyFill="1" applyBorder="1" applyAlignment="1" applyProtection="1">
      <alignment horizontal="center"/>
      <protection locked="0"/>
    </xf>
    <xf numFmtId="187" fontId="5" fillId="5" borderId="3" xfId="0" applyNumberFormat="1" applyFont="1" applyFill="1" applyBorder="1" applyAlignment="1" applyProtection="1">
      <alignment horizontal="center"/>
      <protection locked="0"/>
    </xf>
    <xf numFmtId="2" fontId="5" fillId="5" borderId="3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7" fontId="14" fillId="0" borderId="0" xfId="0" applyNumberFormat="1" applyFont="1" applyAlignment="1" quotePrefix="1">
      <alignment horizontal="center"/>
    </xf>
    <xf numFmtId="0" fontId="18" fillId="0" borderId="0" xfId="0" applyFont="1" applyAlignment="1">
      <alignment horizontal="center"/>
    </xf>
    <xf numFmtId="0" fontId="4" fillId="2" borderId="6" xfId="0" applyFont="1" applyFill="1" applyBorder="1" applyAlignment="1">
      <alignment/>
    </xf>
    <xf numFmtId="0" fontId="4" fillId="0" borderId="9" xfId="0" applyFont="1" applyBorder="1" applyAlignment="1">
      <alignment/>
    </xf>
    <xf numFmtId="0" fontId="19" fillId="0" borderId="0" xfId="24">
      <alignment/>
      <protection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1" fillId="6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 quotePrefix="1">
      <alignment/>
    </xf>
    <xf numFmtId="0" fontId="23" fillId="0" borderId="0" xfId="0" applyFont="1" applyAlignment="1">
      <alignment/>
    </xf>
    <xf numFmtId="3" fontId="5" fillId="4" borderId="5" xfId="0" applyNumberFormat="1" applyFont="1" applyFill="1" applyBorder="1" applyAlignment="1" applyProtection="1">
      <alignment horizontal="center"/>
      <protection/>
    </xf>
    <xf numFmtId="0" fontId="5" fillId="5" borderId="4" xfId="0" applyFont="1" applyFill="1" applyBorder="1" applyAlignment="1" applyProtection="1">
      <alignment/>
      <protection locked="0"/>
    </xf>
    <xf numFmtId="3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0" fontId="5" fillId="7" borderId="5" xfId="0" applyFont="1" applyFill="1" applyBorder="1" applyAlignment="1" applyProtection="1">
      <alignment/>
      <protection/>
    </xf>
    <xf numFmtId="3" fontId="5" fillId="7" borderId="5" xfId="0" applyNumberFormat="1" applyFont="1" applyFill="1" applyBorder="1" applyAlignment="1" applyProtection="1">
      <alignment horizontal="center"/>
      <protection/>
    </xf>
    <xf numFmtId="187" fontId="4" fillId="4" borderId="5" xfId="0" applyNumberFormat="1" applyFont="1" applyFill="1" applyBorder="1" applyAlignment="1" applyProtection="1">
      <alignment horizontal="center"/>
      <protection/>
    </xf>
    <xf numFmtId="2" fontId="4" fillId="4" borderId="5" xfId="0" applyNumberFormat="1" applyFont="1" applyFill="1" applyBorder="1" applyAlignment="1" applyProtection="1">
      <alignment horizontal="center"/>
      <protection/>
    </xf>
    <xf numFmtId="0" fontId="5" fillId="0" borderId="12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4" fillId="0" borderId="3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5" fillId="4" borderId="0" xfId="0" applyFont="1" applyFill="1" applyAlignment="1">
      <alignment/>
    </xf>
    <xf numFmtId="2" fontId="5" fillId="4" borderId="0" xfId="0" applyNumberFormat="1" applyFont="1" applyFill="1" applyAlignment="1">
      <alignment/>
    </xf>
    <xf numFmtId="2" fontId="5" fillId="4" borderId="0" xfId="0" applyNumberFormat="1" applyFont="1" applyFill="1" applyAlignment="1">
      <alignment horizontal="center"/>
    </xf>
    <xf numFmtId="0" fontId="19" fillId="8" borderId="16" xfId="0" applyFont="1" applyFill="1" applyBorder="1" applyAlignment="1" applyProtection="1">
      <alignment horizontal="center"/>
      <protection locked="0"/>
    </xf>
    <xf numFmtId="0" fontId="19" fillId="8" borderId="15" xfId="0" applyFont="1" applyFill="1" applyBorder="1" applyAlignment="1" applyProtection="1">
      <alignment horizontal="center"/>
      <protection locked="0"/>
    </xf>
    <xf numFmtId="0" fontId="19" fillId="8" borderId="5" xfId="0" applyFont="1" applyFill="1" applyBorder="1" applyAlignment="1" applyProtection="1">
      <alignment/>
      <protection locked="0"/>
    </xf>
    <xf numFmtId="0" fontId="19" fillId="8" borderId="4" xfId="0" applyFont="1" applyFill="1" applyBorder="1" applyAlignment="1" applyProtection="1">
      <alignment/>
      <protection locked="0"/>
    </xf>
    <xf numFmtId="2" fontId="19" fillId="4" borderId="0" xfId="0" applyNumberFormat="1" applyFont="1" applyFill="1" applyAlignment="1">
      <alignment/>
    </xf>
    <xf numFmtId="0" fontId="8" fillId="3" borderId="8" xfId="0" applyFont="1" applyFill="1" applyBorder="1" applyAlignment="1">
      <alignment/>
    </xf>
    <xf numFmtId="187" fontId="0" fillId="0" borderId="0" xfId="0" applyNumberFormat="1" applyAlignment="1">
      <alignment/>
    </xf>
    <xf numFmtId="0" fontId="0" fillId="8" borderId="0" xfId="0" applyFill="1" applyAlignment="1" applyProtection="1">
      <alignment/>
      <protection locked="0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19" fillId="0" borderId="0" xfId="0" applyFont="1" applyAlignment="1">
      <alignment/>
    </xf>
    <xf numFmtId="0" fontId="4" fillId="9" borderId="6" xfId="0" applyFont="1" applyFill="1" applyBorder="1" applyAlignment="1" applyProtection="1">
      <alignment/>
      <protection locked="0"/>
    </xf>
    <xf numFmtId="0" fontId="5" fillId="9" borderId="6" xfId="0" applyFont="1" applyFill="1" applyBorder="1" applyAlignment="1" applyProtection="1">
      <alignment/>
      <protection locked="0"/>
    </xf>
    <xf numFmtId="0" fontId="5" fillId="9" borderId="7" xfId="0" applyFont="1" applyFill="1" applyBorder="1" applyAlignment="1" applyProtection="1">
      <alignment/>
      <protection locked="0"/>
    </xf>
    <xf numFmtId="0" fontId="4" fillId="9" borderId="0" xfId="0" applyFont="1" applyFill="1" applyAlignment="1" applyProtection="1">
      <alignment/>
      <protection locked="0"/>
    </xf>
    <xf numFmtId="0" fontId="5" fillId="9" borderId="0" xfId="0" applyFont="1" applyFill="1" applyAlignment="1" applyProtection="1">
      <alignment/>
      <protection locked="0"/>
    </xf>
    <xf numFmtId="0" fontId="5" fillId="9" borderId="8" xfId="0" applyFont="1" applyFill="1" applyBorder="1" applyAlignment="1" applyProtection="1">
      <alignment/>
      <protection locked="0"/>
    </xf>
    <xf numFmtId="3" fontId="5" fillId="9" borderId="5" xfId="0" applyNumberFormat="1" applyFont="1" applyFill="1" applyBorder="1" applyAlignment="1" applyProtection="1">
      <alignment horizontal="right"/>
      <protection locked="0"/>
    </xf>
    <xf numFmtId="1" fontId="5" fillId="9" borderId="5" xfId="0" applyNumberFormat="1" applyFont="1" applyFill="1" applyBorder="1" applyAlignment="1" applyProtection="1">
      <alignment horizontal="right"/>
      <protection locked="0"/>
    </xf>
    <xf numFmtId="1" fontId="19" fillId="0" borderId="0" xfId="0" applyNumberFormat="1" applyFont="1" applyBorder="1" applyAlignment="1">
      <alignment horizontal="center"/>
    </xf>
    <xf numFmtId="1" fontId="19" fillId="0" borderId="9" xfId="0" applyNumberFormat="1" applyFont="1" applyBorder="1" applyAlignment="1">
      <alignment horizontal="center"/>
    </xf>
    <xf numFmtId="1" fontId="19" fillId="0" borderId="3" xfId="0" applyNumberFormat="1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9" fillId="4" borderId="14" xfId="0" applyFont="1" applyFill="1" applyBorder="1" applyAlignment="1" applyProtection="1">
      <alignment horizontal="center"/>
      <protection/>
    </xf>
    <xf numFmtId="187" fontId="4" fillId="4" borderId="14" xfId="0" applyNumberFormat="1" applyFont="1" applyFill="1" applyBorder="1" applyAlignment="1" applyProtection="1">
      <alignment horizontal="center"/>
      <protection/>
    </xf>
    <xf numFmtId="189" fontId="5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9" fillId="8" borderId="14" xfId="0" applyFont="1" applyFill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5" fillId="9" borderId="6" xfId="0" applyFont="1" applyFill="1" applyBorder="1" applyAlignment="1" applyProtection="1">
      <alignment/>
      <protection/>
    </xf>
    <xf numFmtId="0" fontId="5" fillId="9" borderId="0" xfId="0" applyFont="1" applyFill="1" applyAlignment="1" applyProtection="1">
      <alignment/>
      <protection/>
    </xf>
    <xf numFmtId="3" fontId="5" fillId="0" borderId="5" xfId="0" applyNumberFormat="1" applyFont="1" applyBorder="1" applyAlignment="1" applyProtection="1">
      <alignment horizontal="center"/>
      <protection/>
    </xf>
    <xf numFmtId="2" fontId="19" fillId="8" borderId="5" xfId="0" applyNumberFormat="1" applyFont="1" applyFill="1" applyBorder="1" applyAlignment="1" applyProtection="1">
      <alignment horizontal="center"/>
      <protection locked="0"/>
    </xf>
    <xf numFmtId="2" fontId="19" fillId="8" borderId="4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4" fillId="9" borderId="0" xfId="0" applyFont="1" applyFill="1" applyBorder="1" applyAlignment="1" applyProtection="1">
      <alignment/>
      <protection locked="0"/>
    </xf>
    <xf numFmtId="0" fontId="5" fillId="9" borderId="0" xfId="0" applyFont="1" applyFill="1" applyBorder="1" applyAlignment="1" applyProtection="1">
      <alignment/>
      <protection locked="0"/>
    </xf>
    <xf numFmtId="0" fontId="5" fillId="9" borderId="0" xfId="0" applyFont="1" applyFill="1" applyBorder="1" applyAlignment="1" applyProtection="1">
      <alignment/>
      <protection/>
    </xf>
    <xf numFmtId="0" fontId="4" fillId="8" borderId="12" xfId="0" applyFont="1" applyFill="1" applyBorder="1" applyAlignment="1" applyProtection="1">
      <alignment/>
      <protection locked="0"/>
    </xf>
    <xf numFmtId="0" fontId="5" fillId="8" borderId="13" xfId="0" applyFont="1" applyFill="1" applyBorder="1" applyAlignment="1" applyProtection="1">
      <alignment/>
      <protection locked="0"/>
    </xf>
    <xf numFmtId="0" fontId="5" fillId="8" borderId="9" xfId="0" applyFont="1" applyFill="1" applyBorder="1" applyAlignment="1" applyProtection="1">
      <alignment/>
      <protection locked="0"/>
    </xf>
    <xf numFmtId="0" fontId="0" fillId="8" borderId="10" xfId="0" applyFill="1" applyBorder="1" applyAlignment="1" applyProtection="1">
      <alignment/>
      <protection locked="0"/>
    </xf>
    <xf numFmtId="3" fontId="5" fillId="9" borderId="5" xfId="0" applyNumberFormat="1" applyFont="1" applyFill="1" applyBorder="1" applyAlignment="1" applyProtection="1">
      <alignment horizontal="center"/>
      <protection locked="0"/>
    </xf>
    <xf numFmtId="2" fontId="19" fillId="4" borderId="3" xfId="0" applyNumberFormat="1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center"/>
      <protection locked="0"/>
    </xf>
    <xf numFmtId="2" fontId="5" fillId="5" borderId="0" xfId="0" applyNumberFormat="1" applyFont="1" applyFill="1" applyBorder="1" applyAlignment="1" applyProtection="1">
      <alignment horizontal="center"/>
      <protection locked="0"/>
    </xf>
    <xf numFmtId="2" fontId="5" fillId="3" borderId="0" xfId="0" applyNumberFormat="1" applyFont="1" applyFill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9" fillId="0" borderId="12" xfId="0" applyFont="1" applyBorder="1" applyAlignment="1" applyProtection="1">
      <alignment horizontal="center"/>
      <protection/>
    </xf>
    <xf numFmtId="2" fontId="8" fillId="3" borderId="7" xfId="0" applyNumberFormat="1" applyFont="1" applyFill="1" applyBorder="1" applyAlignment="1">
      <alignment/>
    </xf>
    <xf numFmtId="2" fontId="8" fillId="3" borderId="8" xfId="0" applyNumberFormat="1" applyFont="1" applyFill="1" applyBorder="1" applyAlignment="1">
      <alignment/>
    </xf>
    <xf numFmtId="0" fontId="8" fillId="3" borderId="15" xfId="0" applyFont="1" applyFill="1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19" fillId="0" borderId="12" xfId="0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187" fontId="5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6" xfId="0" applyFont="1" applyFill="1" applyBorder="1" applyAlignment="1" applyProtection="1">
      <alignment/>
      <protection/>
    </xf>
    <xf numFmtId="2" fontId="5" fillId="0" borderId="5" xfId="0" applyNumberFormat="1" applyFont="1" applyFill="1" applyBorder="1" applyAlignment="1" applyProtection="1">
      <alignment/>
      <protection/>
    </xf>
    <xf numFmtId="2" fontId="19" fillId="4" borderId="2" xfId="0" applyNumberFormat="1" applyFont="1" applyFill="1" applyBorder="1" applyAlignment="1">
      <alignment/>
    </xf>
    <xf numFmtId="3" fontId="5" fillId="9" borderId="15" xfId="0" applyNumberFormat="1" applyFont="1" applyFill="1" applyBorder="1" applyAlignment="1" applyProtection="1">
      <alignment horizontal="center"/>
      <protection locked="0"/>
    </xf>
    <xf numFmtId="193" fontId="5" fillId="9" borderId="5" xfId="0" applyNumberFormat="1" applyFont="1" applyFill="1" applyBorder="1" applyAlignment="1" applyProtection="1">
      <alignment horizontal="center"/>
      <protection locked="0"/>
    </xf>
    <xf numFmtId="193" fontId="5" fillId="9" borderId="2" xfId="0" applyNumberFormat="1" applyFont="1" applyFill="1" applyBorder="1" applyAlignment="1" applyProtection="1">
      <alignment horizontal="center"/>
      <protection locked="0"/>
    </xf>
    <xf numFmtId="193" fontId="5" fillId="9" borderId="3" xfId="0" applyNumberFormat="1" applyFont="1" applyFill="1" applyBorder="1" applyAlignment="1" applyProtection="1">
      <alignment horizontal="center"/>
      <protection locked="0"/>
    </xf>
    <xf numFmtId="193" fontId="5" fillId="9" borderId="4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>
      <alignment/>
    </xf>
    <xf numFmtId="2" fontId="4" fillId="3" borderId="2" xfId="0" applyNumberFormat="1" applyFont="1" applyFill="1" applyBorder="1" applyAlignment="1">
      <alignment/>
    </xf>
    <xf numFmtId="2" fontId="19" fillId="4" borderId="4" xfId="0" applyNumberFormat="1" applyFont="1" applyFill="1" applyBorder="1" applyAlignment="1">
      <alignment/>
    </xf>
    <xf numFmtId="2" fontId="5" fillId="0" borderId="4" xfId="0" applyNumberFormat="1" applyFont="1" applyFill="1" applyBorder="1" applyAlignment="1">
      <alignment horizontal="right"/>
    </xf>
    <xf numFmtId="2" fontId="5" fillId="0" borderId="8" xfId="0" applyNumberFormat="1" applyFont="1" applyFill="1" applyBorder="1" applyAlignment="1">
      <alignment/>
    </xf>
    <xf numFmtId="0" fontId="30" fillId="0" borderId="3" xfId="0" applyFont="1" applyBorder="1" applyAlignment="1">
      <alignment horizontal="center"/>
    </xf>
    <xf numFmtId="0" fontId="0" fillId="0" borderId="9" xfId="0" applyBorder="1" applyAlignment="1" applyProtection="1">
      <alignment/>
      <protection/>
    </xf>
    <xf numFmtId="0" fontId="30" fillId="0" borderId="4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" fontId="5" fillId="0" borderId="12" xfId="0" applyNumberFormat="1" applyFont="1" applyFill="1" applyBorder="1" applyAlignment="1" applyProtection="1">
      <alignment horizontal="center"/>
      <protection/>
    </xf>
    <xf numFmtId="4" fontId="5" fillId="0" borderId="4" xfId="0" applyNumberFormat="1" applyFont="1" applyFill="1" applyBorder="1" applyAlignment="1" applyProtection="1">
      <alignment horizontal="center"/>
      <protection/>
    </xf>
    <xf numFmtId="1" fontId="19" fillId="4" borderId="0" xfId="0" applyNumberFormat="1" applyFont="1" applyFill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5" fillId="8" borderId="14" xfId="0" applyFont="1" applyFill="1" applyBorder="1" applyAlignment="1" applyProtection="1">
      <alignment horizontal="center"/>
      <protection locked="0"/>
    </xf>
    <xf numFmtId="0" fontId="5" fillId="8" borderId="13" xfId="0" applyFont="1" applyFill="1" applyBorder="1" applyAlignment="1" applyProtection="1">
      <alignment horizontal="center"/>
      <protection locked="0"/>
    </xf>
    <xf numFmtId="0" fontId="19" fillId="4" borderId="0" xfId="0" applyFont="1" applyFill="1" applyAlignment="1">
      <alignment horizontal="center"/>
    </xf>
    <xf numFmtId="189" fontId="19" fillId="4" borderId="0" xfId="0" applyNumberFormat="1" applyFont="1" applyFill="1" applyAlignment="1">
      <alignment horizontal="center"/>
    </xf>
    <xf numFmtId="189" fontId="5" fillId="4" borderId="0" xfId="0" applyNumberFormat="1" applyFont="1" applyFill="1" applyBorder="1" applyAlignment="1">
      <alignment horizontal="center"/>
    </xf>
    <xf numFmtId="0" fontId="19" fillId="10" borderId="5" xfId="0" applyFont="1" applyFill="1" applyBorder="1" applyAlignment="1">
      <alignment horizontal="center"/>
    </xf>
    <xf numFmtId="2" fontId="5" fillId="3" borderId="14" xfId="0" applyNumberFormat="1" applyFont="1" applyFill="1" applyBorder="1" applyAlignment="1">
      <alignment/>
    </xf>
    <xf numFmtId="2" fontId="5" fillId="3" borderId="16" xfId="0" applyNumberFormat="1" applyFont="1" applyFill="1" applyBorder="1" applyAlignment="1">
      <alignment/>
    </xf>
    <xf numFmtId="2" fontId="5" fillId="3" borderId="15" xfId="0" applyNumberFormat="1" applyFont="1" applyFill="1" applyBorder="1" applyAlignment="1">
      <alignment/>
    </xf>
    <xf numFmtId="2" fontId="5" fillId="3" borderId="2" xfId="0" applyNumberFormat="1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1" fontId="5" fillId="3" borderId="12" xfId="0" applyNumberFormat="1" applyFont="1" applyFill="1" applyBorder="1" applyAlignment="1">
      <alignment horizontal="center"/>
    </xf>
    <xf numFmtId="0" fontId="5" fillId="3" borderId="14" xfId="0" applyFont="1" applyFill="1" applyBorder="1" applyAlignment="1">
      <alignment/>
    </xf>
    <xf numFmtId="0" fontId="5" fillId="3" borderId="16" xfId="0" applyFont="1" applyFill="1" applyBorder="1" applyAlignment="1">
      <alignment/>
    </xf>
    <xf numFmtId="0" fontId="5" fillId="3" borderId="15" xfId="0" applyFont="1" applyFill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3" xfId="0" applyFont="1" applyBorder="1" applyAlignment="1">
      <alignment horizontal="center"/>
    </xf>
    <xf numFmtId="2" fontId="19" fillId="4" borderId="15" xfId="0" applyNumberFormat="1" applyFont="1" applyFill="1" applyBorder="1" applyAlignment="1">
      <alignment/>
    </xf>
    <xf numFmtId="0" fontId="0" fillId="0" borderId="9" xfId="0" applyBorder="1" applyAlignment="1">
      <alignment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9" fontId="5" fillId="0" borderId="4" xfId="25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7" fontId="5" fillId="0" borderId="2" xfId="25" applyNumberFormat="1" applyFont="1" applyBorder="1" applyAlignment="1">
      <alignment horizontal="center"/>
    </xf>
    <xf numFmtId="3" fontId="5" fillId="0" borderId="3" xfId="19" applyNumberFormat="1" applyFont="1" applyBorder="1" applyAlignment="1">
      <alignment horizontal="center"/>
    </xf>
    <xf numFmtId="187" fontId="5" fillId="0" borderId="7" xfId="25" applyNumberFormat="1" applyFont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1" fontId="5" fillId="3" borderId="11" xfId="0" applyNumberFormat="1" applyFont="1" applyFill="1" applyBorder="1" applyAlignment="1">
      <alignment horizontal="center"/>
    </xf>
    <xf numFmtId="1" fontId="19" fillId="4" borderId="6" xfId="0" applyNumberFormat="1" applyFont="1" applyFill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1" fontId="5" fillId="3" borderId="9" xfId="0" applyNumberFormat="1" applyFont="1" applyFill="1" applyBorder="1" applyAlignment="1">
      <alignment horizontal="center"/>
    </xf>
    <xf numFmtId="1" fontId="5" fillId="3" borderId="6" xfId="0" applyNumberFormat="1" applyFont="1" applyFill="1" applyBorder="1" applyAlignment="1">
      <alignment horizontal="center"/>
    </xf>
    <xf numFmtId="187" fontId="5" fillId="3" borderId="12" xfId="0" applyNumberFormat="1" applyFont="1" applyFill="1" applyBorder="1" applyAlignment="1">
      <alignment horizontal="center"/>
    </xf>
    <xf numFmtId="2" fontId="4" fillId="3" borderId="11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2" fontId="5" fillId="3" borderId="7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187" fontId="19" fillId="4" borderId="0" xfId="0" applyNumberFormat="1" applyFont="1" applyFill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2" fontId="5" fillId="3" borderId="9" xfId="0" applyNumberFormat="1" applyFont="1" applyFill="1" applyBorder="1" applyAlignment="1">
      <alignment horizontal="center"/>
    </xf>
    <xf numFmtId="193" fontId="5" fillId="3" borderId="13" xfId="0" applyNumberFormat="1" applyFont="1" applyFill="1" applyBorder="1" applyAlignment="1">
      <alignment horizontal="center"/>
    </xf>
    <xf numFmtId="193" fontId="5" fillId="3" borderId="6" xfId="0" applyNumberFormat="1" applyFont="1" applyFill="1" applyBorder="1" applyAlignment="1">
      <alignment horizontal="center"/>
    </xf>
    <xf numFmtId="193" fontId="19" fillId="4" borderId="8" xfId="0" applyNumberFormat="1" applyFont="1" applyFill="1" applyBorder="1" applyAlignment="1">
      <alignment horizontal="center"/>
    </xf>
    <xf numFmtId="193" fontId="5" fillId="3" borderId="8" xfId="0" applyNumberFormat="1" applyFont="1" applyFill="1" applyBorder="1" applyAlignment="1">
      <alignment horizontal="center"/>
    </xf>
    <xf numFmtId="193" fontId="5" fillId="3" borderId="10" xfId="0" applyNumberFormat="1" applyFont="1" applyFill="1" applyBorder="1" applyAlignment="1">
      <alignment horizontal="center"/>
    </xf>
    <xf numFmtId="2" fontId="5" fillId="3" borderId="5" xfId="0" applyNumberFormat="1" applyFont="1" applyFill="1" applyBorder="1" applyAlignment="1">
      <alignment horizontal="center"/>
    </xf>
    <xf numFmtId="0" fontId="19" fillId="0" borderId="5" xfId="0" applyFont="1" applyBorder="1" applyAlignment="1">
      <alignment/>
    </xf>
    <xf numFmtId="0" fontId="19" fillId="0" borderId="14" xfId="0" applyFont="1" applyBorder="1" applyAlignment="1">
      <alignment/>
    </xf>
    <xf numFmtId="1" fontId="0" fillId="0" borderId="0" xfId="0" applyNumberFormat="1" applyAlignment="1">
      <alignment horizontal="center"/>
    </xf>
    <xf numFmtId="189" fontId="5" fillId="0" borderId="3" xfId="0" applyNumberFormat="1" applyFont="1" applyBorder="1" applyAlignment="1">
      <alignment horizontal="center"/>
    </xf>
    <xf numFmtId="3" fontId="5" fillId="9" borderId="16" xfId="0" applyNumberFormat="1" applyFont="1" applyFill="1" applyBorder="1" applyAlignment="1" applyProtection="1">
      <alignment horizontal="center"/>
      <protection locked="0"/>
    </xf>
    <xf numFmtId="3" fontId="5" fillId="9" borderId="6" xfId="0" applyNumberFormat="1" applyFont="1" applyFill="1" applyBorder="1" applyAlignment="1" applyProtection="1">
      <alignment horizontal="center"/>
      <protection locked="0"/>
    </xf>
    <xf numFmtId="3" fontId="5" fillId="9" borderId="0" xfId="0" applyNumberFormat="1" applyFont="1" applyFill="1" applyBorder="1" applyAlignment="1" applyProtection="1">
      <alignment horizontal="center"/>
      <protection locked="0"/>
    </xf>
    <xf numFmtId="3" fontId="5" fillId="9" borderId="9" xfId="0" applyNumberFormat="1" applyFont="1" applyFill="1" applyBorder="1" applyAlignment="1" applyProtection="1">
      <alignment horizontal="center"/>
      <protection locked="0"/>
    </xf>
    <xf numFmtId="187" fontId="5" fillId="0" borderId="4" xfId="25" applyNumberFormat="1" applyFont="1" applyBorder="1" applyAlignment="1">
      <alignment horizontal="center"/>
    </xf>
    <xf numFmtId="4" fontId="5" fillId="9" borderId="5" xfId="0" applyNumberFormat="1" applyFont="1" applyFill="1" applyBorder="1" applyAlignment="1" applyProtection="1">
      <alignment horizontal="center"/>
      <protection locked="0"/>
    </xf>
    <xf numFmtId="4" fontId="5" fillId="0" borderId="4" xfId="0" applyNumberFormat="1" applyFont="1" applyBorder="1" applyAlignment="1">
      <alignment horizontal="center"/>
    </xf>
    <xf numFmtId="189" fontId="5" fillId="0" borderId="5" xfId="0" applyNumberFormat="1" applyFont="1" applyBorder="1" applyAlignment="1">
      <alignment horizontal="center"/>
    </xf>
    <xf numFmtId="0" fontId="19" fillId="0" borderId="0" xfId="0" applyFont="1" applyBorder="1" applyAlignment="1" applyProtection="1">
      <alignment/>
      <protection/>
    </xf>
    <xf numFmtId="0" fontId="5" fillId="8" borderId="9" xfId="0" applyFont="1" applyFill="1" applyBorder="1" applyAlignment="1" applyProtection="1">
      <alignment horizontal="center"/>
      <protection locked="0"/>
    </xf>
    <xf numFmtId="0" fontId="5" fillId="8" borderId="16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10" fontId="0" fillId="0" borderId="0" xfId="25" applyFont="1" applyAlignment="1">
      <alignment horizontal="center"/>
    </xf>
    <xf numFmtId="1" fontId="19" fillId="0" borderId="2" xfId="0" applyNumberFormat="1" applyFont="1" applyBorder="1" applyAlignment="1">
      <alignment horizontal="center"/>
    </xf>
    <xf numFmtId="0" fontId="19" fillId="0" borderId="2" xfId="0" applyFont="1" applyBorder="1" applyAlignment="1" applyProtection="1">
      <alignment horizontal="center"/>
      <protection/>
    </xf>
    <xf numFmtId="0" fontId="19" fillId="0" borderId="3" xfId="0" applyFont="1" applyBorder="1" applyAlignment="1" applyProtection="1">
      <alignment horizontal="center"/>
      <protection/>
    </xf>
    <xf numFmtId="0" fontId="5" fillId="4" borderId="0" xfId="0" applyFont="1" applyFill="1" applyAlignment="1">
      <alignment horizontal="center"/>
    </xf>
    <xf numFmtId="189" fontId="5" fillId="4" borderId="0" xfId="0" applyNumberFormat="1" applyFont="1" applyFill="1" applyAlignment="1">
      <alignment horizontal="center"/>
    </xf>
    <xf numFmtId="3" fontId="5" fillId="8" borderId="14" xfId="0" applyNumberFormat="1" applyFont="1" applyFill="1" applyBorder="1" applyAlignment="1" applyProtection="1">
      <alignment horizontal="center"/>
      <protection locked="0"/>
    </xf>
    <xf numFmtId="4" fontId="5" fillId="8" borderId="5" xfId="0" applyNumberFormat="1" applyFont="1" applyFill="1" applyBorder="1" applyAlignment="1" applyProtection="1">
      <alignment horizontal="center"/>
      <protection locked="0"/>
    </xf>
    <xf numFmtId="4" fontId="5" fillId="8" borderId="4" xfId="0" applyNumberFormat="1" applyFont="1" applyFill="1" applyBorder="1" applyAlignment="1" applyProtection="1">
      <alignment horizontal="center"/>
      <protection locked="0"/>
    </xf>
    <xf numFmtId="0" fontId="5" fillId="8" borderId="5" xfId="0" applyFont="1" applyFill="1" applyBorder="1" applyAlignment="1" applyProtection="1">
      <alignment horizontal="center"/>
      <protection locked="0"/>
    </xf>
    <xf numFmtId="4" fontId="5" fillId="8" borderId="2" xfId="0" applyNumberFormat="1" applyFont="1" applyFill="1" applyBorder="1" applyAlignment="1" applyProtection="1">
      <alignment horizontal="center"/>
      <protection locked="0"/>
    </xf>
    <xf numFmtId="4" fontId="5" fillId="8" borderId="3" xfId="0" applyNumberFormat="1" applyFont="1" applyFill="1" applyBorder="1" applyAlignment="1" applyProtection="1">
      <alignment horizontal="center"/>
      <protection locked="0"/>
    </xf>
    <xf numFmtId="0" fontId="5" fillId="8" borderId="0" xfId="0" applyFont="1" applyFill="1" applyAlignment="1" applyProtection="1">
      <alignment/>
      <protection locked="0"/>
    </xf>
    <xf numFmtId="0" fontId="5" fillId="8" borderId="16" xfId="0" applyFont="1" applyFill="1" applyBorder="1" applyAlignment="1" applyProtection="1">
      <alignment/>
      <protection locked="0"/>
    </xf>
    <xf numFmtId="4" fontId="5" fillId="8" borderId="5" xfId="0" applyNumberFormat="1" applyFont="1" applyFill="1" applyBorder="1" applyAlignment="1" applyProtection="1">
      <alignment/>
      <protection locked="0"/>
    </xf>
    <xf numFmtId="4" fontId="5" fillId="8" borderId="3" xfId="0" applyNumberFormat="1" applyFont="1" applyFill="1" applyBorder="1" applyAlignment="1" applyProtection="1">
      <alignment/>
      <protection locked="0"/>
    </xf>
    <xf numFmtId="3" fontId="5" fillId="8" borderId="0" xfId="0" applyNumberFormat="1" applyFont="1" applyFill="1" applyAlignment="1" applyProtection="1">
      <alignment horizontal="center"/>
      <protection locked="0"/>
    </xf>
    <xf numFmtId="0" fontId="21" fillId="0" borderId="0" xfId="0" applyFont="1" applyAlignment="1">
      <alignment/>
    </xf>
    <xf numFmtId="0" fontId="28" fillId="0" borderId="0" xfId="0" applyFont="1" applyAlignment="1">
      <alignment/>
    </xf>
    <xf numFmtId="17" fontId="31" fillId="0" borderId="0" xfId="0" applyNumberFormat="1" applyFont="1" applyAlignment="1">
      <alignment/>
    </xf>
    <xf numFmtId="0" fontId="32" fillId="0" borderId="0" xfId="0" applyFont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5" fillId="0" borderId="9" xfId="0" applyNumberFormat="1" applyFont="1" applyFill="1" applyBorder="1" applyAlignment="1" applyProtection="1">
      <alignment horizontal="center"/>
      <protection/>
    </xf>
    <xf numFmtId="0" fontId="19" fillId="0" borderId="9" xfId="0" applyFont="1" applyFill="1" applyBorder="1" applyAlignment="1" applyProtection="1">
      <alignment horizontal="center"/>
      <protection locked="0"/>
    </xf>
    <xf numFmtId="0" fontId="30" fillId="0" borderId="3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33" fillId="0" borderId="0" xfId="0" applyFont="1" applyFill="1" applyBorder="1" applyAlignment="1" applyProtection="1">
      <alignment horizontal="center"/>
      <protection locked="0"/>
    </xf>
    <xf numFmtId="189" fontId="5" fillId="0" borderId="0" xfId="0" applyNumberFormat="1" applyFont="1" applyFill="1" applyBorder="1" applyAlignment="1">
      <alignment horizontal="center"/>
    </xf>
    <xf numFmtId="0" fontId="0" fillId="0" borderId="4" xfId="0" applyBorder="1" applyAlignment="1" applyProtection="1">
      <alignment/>
      <protection/>
    </xf>
    <xf numFmtId="0" fontId="30" fillId="0" borderId="9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189" fontId="5" fillId="0" borderId="0" xfId="0" applyNumberFormat="1" applyFont="1" applyFill="1" applyBorder="1" applyAlignment="1" quotePrefix="1">
      <alignment horizontal="center"/>
    </xf>
    <xf numFmtId="0" fontId="19" fillId="8" borderId="3" xfId="0" applyFont="1" applyFill="1" applyBorder="1" applyAlignment="1" applyProtection="1">
      <alignment/>
      <protection locked="0"/>
    </xf>
    <xf numFmtId="0" fontId="19" fillId="8" borderId="7" xfId="0" applyFont="1" applyFill="1" applyBorder="1" applyAlignment="1" applyProtection="1">
      <alignment horizontal="center"/>
      <protection locked="0"/>
    </xf>
    <xf numFmtId="0" fontId="5" fillId="8" borderId="4" xfId="0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>
      <alignment horizontal="center"/>
    </xf>
    <xf numFmtId="1" fontId="19" fillId="4" borderId="0" xfId="25" applyNumberFormat="1" applyFont="1" applyFill="1" applyBorder="1" applyAlignment="1" applyProtection="1">
      <alignment horizontal="center"/>
      <protection/>
    </xf>
    <xf numFmtId="0" fontId="0" fillId="0" borderId="8" xfId="0" applyBorder="1" applyAlignment="1">
      <alignment/>
    </xf>
    <xf numFmtId="0" fontId="30" fillId="11" borderId="5" xfId="0" applyFont="1" applyFill="1" applyBorder="1" applyAlignment="1" applyProtection="1">
      <alignment horizontal="center"/>
      <protection/>
    </xf>
    <xf numFmtId="9" fontId="5" fillId="0" borderId="0" xfId="25" applyNumberFormat="1" applyFont="1" applyFill="1" applyBorder="1" applyAlignment="1" applyProtection="1">
      <alignment horizontal="center"/>
      <protection locked="0"/>
    </xf>
    <xf numFmtId="0" fontId="3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30" fillId="0" borderId="7" xfId="0" applyFont="1" applyBorder="1" applyAlignment="1">
      <alignment horizontal="center"/>
    </xf>
    <xf numFmtId="0" fontId="30" fillId="0" borderId="8" xfId="0" applyFont="1" applyBorder="1" applyAlignment="1">
      <alignment/>
    </xf>
    <xf numFmtId="1" fontId="19" fillId="0" borderId="6" xfId="0" applyNumberFormat="1" applyFont="1" applyBorder="1" applyAlignment="1">
      <alignment horizontal="center"/>
    </xf>
    <xf numFmtId="1" fontId="19" fillId="0" borderId="7" xfId="0" applyNumberFormat="1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1" fontId="19" fillId="0" borderId="8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30" fillId="0" borderId="12" xfId="0" applyFont="1" applyBorder="1" applyAlignment="1" applyProtection="1">
      <alignment/>
      <protection/>
    </xf>
    <xf numFmtId="0" fontId="30" fillId="0" borderId="13" xfId="0" applyFont="1" applyBorder="1" applyAlignment="1" applyProtection="1">
      <alignment/>
      <protection/>
    </xf>
    <xf numFmtId="0" fontId="19" fillId="0" borderId="0" xfId="0" applyFont="1" applyBorder="1" applyAlignment="1">
      <alignment horizontal="center"/>
    </xf>
    <xf numFmtId="189" fontId="5" fillId="8" borderId="0" xfId="0" applyNumberFormat="1" applyFont="1" applyFill="1" applyBorder="1" applyAlignment="1">
      <alignment horizontal="center"/>
    </xf>
    <xf numFmtId="1" fontId="4" fillId="4" borderId="14" xfId="0" applyNumberFormat="1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18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89" fontId="5" fillId="0" borderId="12" xfId="0" applyNumberFormat="1" applyFont="1" applyFill="1" applyBorder="1" applyAlignment="1" applyProtection="1">
      <alignment horizontal="center"/>
      <protection/>
    </xf>
    <xf numFmtId="187" fontId="5" fillId="0" borderId="4" xfId="0" applyNumberFormat="1" applyFont="1" applyFill="1" applyBorder="1" applyAlignment="1" applyProtection="1">
      <alignment horizontal="center"/>
      <protection/>
    </xf>
    <xf numFmtId="0" fontId="19" fillId="0" borderId="3" xfId="0" applyFont="1" applyFill="1" applyBorder="1" applyAlignment="1" applyProtection="1">
      <alignment horizontal="center"/>
      <protection/>
    </xf>
    <xf numFmtId="3" fontId="5" fillId="0" borderId="3" xfId="0" applyNumberFormat="1" applyFont="1" applyFill="1" applyBorder="1" applyAlignment="1" applyProtection="1">
      <alignment horizontal="center"/>
      <protection/>
    </xf>
    <xf numFmtId="0" fontId="5" fillId="3" borderId="8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30" fillId="0" borderId="2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19" fillId="8" borderId="3" xfId="0" applyFont="1" applyFill="1" applyBorder="1" applyAlignment="1" applyProtection="1">
      <alignment horizontal="center"/>
      <protection locked="0"/>
    </xf>
    <xf numFmtId="187" fontId="19" fillId="8" borderId="3" xfId="0" applyNumberFormat="1" applyFont="1" applyFill="1" applyBorder="1" applyAlignment="1" applyProtection="1">
      <alignment horizontal="center"/>
      <protection locked="0"/>
    </xf>
    <xf numFmtId="187" fontId="5" fillId="8" borderId="3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4" fillId="0" borderId="8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2" fontId="19" fillId="0" borderId="8" xfId="0" applyNumberFormat="1" applyFont="1" applyBorder="1" applyAlignment="1">
      <alignment horizontal="center"/>
    </xf>
    <xf numFmtId="3" fontId="19" fillId="0" borderId="8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30" fillId="0" borderId="5" xfId="0" applyFont="1" applyBorder="1" applyAlignment="1">
      <alignment horizontal="center"/>
    </xf>
    <xf numFmtId="3" fontId="19" fillId="0" borderId="3" xfId="0" applyNumberFormat="1" applyFont="1" applyBorder="1" applyAlignment="1">
      <alignment horizontal="center"/>
    </xf>
    <xf numFmtId="3" fontId="19" fillId="0" borderId="4" xfId="0" applyNumberFormat="1" applyFont="1" applyBorder="1" applyAlignment="1">
      <alignment horizontal="center"/>
    </xf>
    <xf numFmtId="2" fontId="5" fillId="3" borderId="3" xfId="0" applyNumberFormat="1" applyFont="1" applyFill="1" applyBorder="1" applyAlignment="1">
      <alignment/>
    </xf>
    <xf numFmtId="3" fontId="5" fillId="9" borderId="10" xfId="0" applyNumberFormat="1" applyFont="1" applyFill="1" applyBorder="1" applyAlignment="1" applyProtection="1">
      <alignment horizontal="center"/>
      <protection locked="0"/>
    </xf>
    <xf numFmtId="3" fontId="5" fillId="8" borderId="13" xfId="0" applyNumberFormat="1" applyFont="1" applyFill="1" applyBorder="1" applyAlignment="1" applyProtection="1">
      <alignment horizontal="center"/>
      <protection locked="0"/>
    </xf>
    <xf numFmtId="4" fontId="5" fillId="9" borderId="4" xfId="0" applyNumberFormat="1" applyFont="1" applyFill="1" applyBorder="1" applyAlignment="1" applyProtection="1">
      <alignment horizontal="center"/>
      <protection locked="0"/>
    </xf>
    <xf numFmtId="3" fontId="5" fillId="9" borderId="4" xfId="0" applyNumberFormat="1" applyFont="1" applyFill="1" applyBorder="1" applyAlignment="1" applyProtection="1">
      <alignment horizontal="center"/>
      <protection locked="0"/>
    </xf>
    <xf numFmtId="4" fontId="5" fillId="8" borderId="4" xfId="0" applyNumberFormat="1" applyFont="1" applyFill="1" applyBorder="1" applyAlignment="1" applyProtection="1">
      <alignment/>
      <protection locked="0"/>
    </xf>
    <xf numFmtId="3" fontId="5" fillId="8" borderId="9" xfId="0" applyNumberFormat="1" applyFont="1" applyFill="1" applyBorder="1" applyAlignment="1" applyProtection="1">
      <alignment horizontal="center"/>
      <protection locked="0"/>
    </xf>
    <xf numFmtId="0" fontId="5" fillId="8" borderId="0" xfId="0" applyFont="1" applyFill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alignment horizontal="center"/>
      <protection/>
    </xf>
    <xf numFmtId="3" fontId="5" fillId="8" borderId="16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189" fontId="5" fillId="0" borderId="3" xfId="0" applyNumberFormat="1" applyFont="1" applyFill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19" fillId="0" borderId="4" xfId="0" applyFont="1" applyFill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187" fontId="19" fillId="8" borderId="10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Fill="1" applyAlignment="1">
      <alignment horizontal="left"/>
    </xf>
    <xf numFmtId="0" fontId="19" fillId="8" borderId="13" xfId="0" applyFont="1" applyFill="1" applyBorder="1" applyAlignment="1">
      <alignment horizontal="center"/>
    </xf>
    <xf numFmtId="187" fontId="19" fillId="8" borderId="9" xfId="0" applyNumberFormat="1" applyFont="1" applyFill="1" applyBorder="1" applyAlignment="1">
      <alignment horizontal="center"/>
    </xf>
    <xf numFmtId="0" fontId="19" fillId="8" borderId="14" xfId="0" applyFont="1" applyFill="1" applyBorder="1" applyAlignment="1">
      <alignment horizontal="center"/>
    </xf>
    <xf numFmtId="187" fontId="19" fillId="8" borderId="16" xfId="0" applyNumberFormat="1" applyFont="1" applyFill="1" applyBorder="1" applyAlignment="1">
      <alignment horizontal="center"/>
    </xf>
    <xf numFmtId="187" fontId="19" fillId="8" borderId="15" xfId="0" applyNumberFormat="1" applyFont="1" applyFill="1" applyBorder="1" applyAlignment="1">
      <alignment horizontal="center"/>
    </xf>
    <xf numFmtId="187" fontId="19" fillId="8" borderId="5" xfId="0" applyNumberFormat="1" applyFont="1" applyFill="1" applyBorder="1" applyAlignment="1">
      <alignment horizontal="center"/>
    </xf>
    <xf numFmtId="187" fontId="19" fillId="8" borderId="4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 applyProtection="1">
      <alignment horizontal="center"/>
      <protection/>
    </xf>
    <xf numFmtId="0" fontId="19" fillId="8" borderId="6" xfId="0" applyFont="1" applyFill="1" applyBorder="1" applyAlignment="1" applyProtection="1">
      <alignment horizontal="center"/>
      <protection locked="0"/>
    </xf>
    <xf numFmtId="189" fontId="5" fillId="0" borderId="5" xfId="0" applyNumberFormat="1" applyFont="1" applyFill="1" applyBorder="1" applyAlignment="1" applyProtection="1">
      <alignment horizontal="center"/>
      <protection/>
    </xf>
    <xf numFmtId="189" fontId="5" fillId="0" borderId="14" xfId="0" applyNumberFormat="1" applyFont="1" applyFill="1" applyBorder="1" applyAlignment="1" applyProtection="1">
      <alignment horizontal="center"/>
      <protection/>
    </xf>
    <xf numFmtId="189" fontId="5" fillId="0" borderId="16" xfId="0" applyNumberFormat="1" applyFont="1" applyFill="1" applyBorder="1" applyAlignment="1" applyProtection="1">
      <alignment horizontal="center"/>
      <protection/>
    </xf>
    <xf numFmtId="189" fontId="5" fillId="0" borderId="15" xfId="0" applyNumberFormat="1" applyFont="1" applyFill="1" applyBorder="1" applyAlignment="1" applyProtection="1">
      <alignment horizontal="center"/>
      <protection/>
    </xf>
    <xf numFmtId="0" fontId="19" fillId="8" borderId="14" xfId="0" applyFont="1" applyFill="1" applyBorder="1" applyAlignment="1" applyProtection="1">
      <alignment horizontal="center"/>
      <protection locked="0"/>
    </xf>
    <xf numFmtId="189" fontId="5" fillId="8" borderId="15" xfId="0" applyNumberFormat="1" applyFont="1" applyFill="1" applyBorder="1" applyAlignment="1" applyProtection="1">
      <alignment horizontal="center"/>
      <protection locked="0"/>
    </xf>
    <xf numFmtId="0" fontId="19" fillId="8" borderId="5" xfId="0" applyFont="1" applyFill="1" applyBorder="1" applyAlignment="1" applyProtection="1">
      <alignment horizontal="center"/>
      <protection locked="0"/>
    </xf>
    <xf numFmtId="189" fontId="40" fillId="0" borderId="0" xfId="0" applyNumberFormat="1" applyFont="1" applyFill="1" applyBorder="1" applyAlignment="1">
      <alignment horizontal="left"/>
    </xf>
    <xf numFmtId="0" fontId="19" fillId="8" borderId="9" xfId="0" applyFont="1" applyFill="1" applyBorder="1" applyAlignment="1" applyProtection="1">
      <alignment horizontal="center"/>
      <protection locked="0"/>
    </xf>
    <xf numFmtId="0" fontId="19" fillId="0" borderId="14" xfId="0" applyFont="1" applyFill="1" applyBorder="1" applyAlignment="1" applyProtection="1">
      <alignment horizontal="center"/>
      <protection/>
    </xf>
    <xf numFmtId="0" fontId="5" fillId="3" borderId="14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3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30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30" fillId="0" borderId="12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14">
    <cellStyle name="Normal" xfId="0"/>
    <cellStyle name="Date" xfId="15"/>
    <cellStyle name="En-tête 1" xfId="16"/>
    <cellStyle name="En-tête 2" xfId="17"/>
    <cellStyle name="Financier0" xfId="18"/>
    <cellStyle name="Comma" xfId="19"/>
    <cellStyle name="Comma [0]" xfId="20"/>
    <cellStyle name="Currency" xfId="21"/>
    <cellStyle name="Currency [0]" xfId="22"/>
    <cellStyle name="Monétaire0" xfId="23"/>
    <cellStyle name="Normal_Feuil1" xfId="24"/>
    <cellStyle name="Percent" xfId="25"/>
    <cellStyle name="Total" xfId="26"/>
    <cellStyle name="Virgule fixe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Rejet d'azote selon la référence utilisée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935"/>
          <c:w val="0.98225"/>
          <c:h val="0.893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Standard!$D$23:$F$23</c:f>
              <c:strCache>
                <c:ptCount val="3"/>
                <c:pt idx="0">
                  <c:v>Bilan</c:v>
                </c:pt>
                <c:pt idx="1">
                  <c:v>CRAAQ 01</c:v>
                </c:pt>
                <c:pt idx="2">
                  <c:v>Potentiel</c:v>
                </c:pt>
              </c:strCache>
            </c:strRef>
          </c:cat>
          <c:val>
            <c:numRef>
              <c:f>Standard!$D$28:$F$28</c:f>
              <c:numCach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axId val="47136632"/>
        <c:axId val="21576505"/>
      </c:barChart>
      <c:catAx>
        <c:axId val="4713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576505"/>
        <c:crosses val="autoZero"/>
        <c:auto val="0"/>
        <c:lblOffset val="100"/>
        <c:noMultiLvlLbl val="0"/>
      </c:catAx>
      <c:valAx>
        <c:axId val="21576505"/>
        <c:scaling>
          <c:orientation val="minMax"/>
          <c:max val="1.1"/>
          <c:min val="0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1366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Devenir de l'azote ingéré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0"/>
      <c:depthPercent val="200"/>
      <c:rAngAx val="1"/>
    </c:view3D>
    <c:plotArea>
      <c:layout>
        <c:manualLayout>
          <c:xMode val="edge"/>
          <c:yMode val="edge"/>
          <c:x val="0.233"/>
          <c:y val="0.20625"/>
          <c:w val="0.55725"/>
          <c:h val="0.583"/>
        </c:manualLayout>
      </c:layout>
      <c:pie3DChart>
        <c:varyColors val="1"/>
        <c:ser>
          <c:idx val="0"/>
          <c:order val="0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Standard!$B$10:$B$12</c:f>
              <c:strCache>
                <c:ptCount val="3"/>
                <c:pt idx="0">
                  <c:v>Retenu</c:v>
                </c:pt>
                <c:pt idx="1">
                  <c:v>Air</c:v>
                </c:pt>
                <c:pt idx="2">
                  <c:v>Fumier</c:v>
                </c:pt>
              </c:strCache>
            </c:strRef>
          </c:cat>
          <c:val>
            <c:numRef>
              <c:f>Standard!$C$10:$C$12</c:f>
              <c:numCache>
                <c:ptCount val="3"/>
                <c:pt idx="0">
                  <c:v>3568.2573600000005</c:v>
                </c:pt>
                <c:pt idx="1">
                  <c:v>2627.496776799999</c:v>
                </c:pt>
                <c:pt idx="2">
                  <c:v>4473.845863199998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Rejet de P2O5 selon la référence utilisée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275"/>
          <c:w val="0.9825"/>
          <c:h val="0.8935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Standard!$D$33:$F$33</c:f>
              <c:strCache>
                <c:ptCount val="3"/>
                <c:pt idx="0">
                  <c:v>Bilan</c:v>
                </c:pt>
                <c:pt idx="1">
                  <c:v>CRAAQ 01</c:v>
                </c:pt>
                <c:pt idx="2">
                  <c:v>Potentiel</c:v>
                </c:pt>
              </c:strCache>
            </c:strRef>
          </c:cat>
          <c:val>
            <c:numRef>
              <c:f>Standard!$D$38:$F$38</c:f>
              <c:numCache>
                <c:ptCount val="3"/>
                <c:pt idx="0">
                  <c:v>1.2429347102439887</c:v>
                </c:pt>
                <c:pt idx="1">
                  <c:v>1</c:v>
                </c:pt>
                <c:pt idx="2">
                  <c:v>1.2163522012578616</c:v>
                </c:pt>
              </c:numCache>
            </c:numRef>
          </c:val>
        </c:ser>
        <c:axId val="59970818"/>
        <c:axId val="2866451"/>
      </c:barChart>
      <c:catAx>
        <c:axId val="5997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66451"/>
        <c:crosses val="autoZero"/>
        <c:auto val="0"/>
        <c:lblOffset val="100"/>
        <c:noMultiLvlLbl val="0"/>
      </c:catAx>
      <c:valAx>
        <c:axId val="2866451"/>
        <c:scaling>
          <c:orientation val="minMax"/>
          <c:max val="1.1"/>
          <c:min val="0.3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9708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workbookViewId="0" zoomToFit="1"/>
  </sheetViews>
  <pageMargins left="0.7874015748031497" right="0.7874015748031497" top="0.984251968503937" bottom="0.984251968503937" header="0.5118110236220472" footer="0.5118110236220472"/>
  <pageSetup horizontalDpi="300" verticalDpi="300" orientation="landscape"/>
  <headerFooter>
    <oddHeader>&amp;A</oddHeader>
    <oddFooter>&amp;CPage &amp;P&amp;R&amp;F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2"/>
  <sheetViews>
    <sheetView workbookViewId="0" zoomToFit="1"/>
  </sheetViews>
  <pageMargins left="0.7874015748031497" right="0.7874015748031497" top="0.984251968503937" bottom="0.984251968503937" header="0.5118110236220472" footer="0.5118110236220472"/>
  <pageSetup horizontalDpi="300" verticalDpi="300" orientation="landscape"/>
  <headerFooter>
    <oddHeader>&amp;A</oddHeader>
    <oddFooter>&amp;CPage &amp;P&amp;R&amp;F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3"/>
  <sheetViews>
    <sheetView workbookViewId="0" zoomToFit="1"/>
  </sheetViews>
  <pageMargins left="0.7874015748031497" right="0.7874015748031497" top="0.984251968503937" bottom="0.984251968503937" header="0.5118110236220472" footer="0.5118110236220472"/>
  <pageSetup horizontalDpi="300" verticalDpi="300" orientation="landscape"/>
  <headerFooter>
    <oddHeader>&amp;A</oddHeader>
    <oddFooter>&amp;CPage &amp;P&amp;R&amp;F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22</xdr:row>
      <xdr:rowOff>57150</xdr:rowOff>
    </xdr:from>
    <xdr:to>
      <xdr:col>4</xdr:col>
      <xdr:colOff>247650</xdr:colOff>
      <xdr:row>24</xdr:row>
      <xdr:rowOff>57150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4010025"/>
          <a:ext cx="7810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4</xdr:col>
      <xdr:colOff>504825</xdr:colOff>
      <xdr:row>22</xdr:row>
      <xdr:rowOff>95250</xdr:rowOff>
    </xdr:from>
    <xdr:to>
      <xdr:col>5</xdr:col>
      <xdr:colOff>457200</xdr:colOff>
      <xdr:row>24</xdr:row>
      <xdr:rowOff>38100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4048125"/>
          <a:ext cx="71437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286500"/>
    <xdr:graphicFrame>
      <xdr:nvGraphicFramePr>
        <xdr:cNvPr id="1" name="Shape 1025"/>
        <xdr:cNvGraphicFramePr/>
      </xdr:nvGraphicFramePr>
      <xdr:xfrm>
        <a:off x="0" y="0"/>
        <a:ext cx="928687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286500"/>
    <xdr:graphicFrame>
      <xdr:nvGraphicFramePr>
        <xdr:cNvPr id="1" name="Shape 1025"/>
        <xdr:cNvGraphicFramePr/>
      </xdr:nvGraphicFramePr>
      <xdr:xfrm>
        <a:off x="0" y="0"/>
        <a:ext cx="928687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286500"/>
    <xdr:graphicFrame>
      <xdr:nvGraphicFramePr>
        <xdr:cNvPr id="1" name="Shape 1025"/>
        <xdr:cNvGraphicFramePr/>
      </xdr:nvGraphicFramePr>
      <xdr:xfrm>
        <a:off x="0" y="0"/>
        <a:ext cx="928687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35</xdr:row>
      <xdr:rowOff>123825</xdr:rowOff>
    </xdr:from>
    <xdr:to>
      <xdr:col>8</xdr:col>
      <xdr:colOff>695325</xdr:colOff>
      <xdr:row>81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91200"/>
          <a:ext cx="6677025" cy="7477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80</xdr:row>
      <xdr:rowOff>114300</xdr:rowOff>
    </xdr:from>
    <xdr:to>
      <xdr:col>7</xdr:col>
      <xdr:colOff>723900</xdr:colOff>
      <xdr:row>108</xdr:row>
      <xdr:rowOff>57150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3068300"/>
          <a:ext cx="5857875" cy="447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</xdr:row>
      <xdr:rowOff>47625</xdr:rowOff>
    </xdr:from>
    <xdr:to>
      <xdr:col>8</xdr:col>
      <xdr:colOff>619125</xdr:colOff>
      <xdr:row>158</xdr:row>
      <xdr:rowOff>114300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697450"/>
          <a:ext cx="6629400" cy="800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PORC-V4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EURS"/>
      <sheetName val="Elevage"/>
      <sheetName val="Stock_Début"/>
      <sheetName val="Stock_Fin"/>
      <sheetName val="Achats_Aliments"/>
      <sheetName val="Bilan"/>
      <sheetName val="Standard"/>
      <sheetName val="Gra1_N"/>
      <sheetName val="Gra2_N"/>
      <sheetName val="Gra_P"/>
      <sheetName val="Aide"/>
      <sheetName val="Références"/>
      <sheetName val="Enregistrement"/>
      <sheetName val="Module1"/>
      <sheetName val="Module2"/>
    </sheetNames>
    <sheetDataSet>
      <sheetData sheetId="1">
        <row r="45">
          <cell r="E4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C1:F37"/>
  <sheetViews>
    <sheetView showGridLines="0" showRowColHeaders="0" zoomScale="90" zoomScaleNormal="90" workbookViewId="0" topLeftCell="A1">
      <selection activeCell="E27" sqref="E27"/>
    </sheetView>
  </sheetViews>
  <sheetFormatPr defaultColWidth="11.421875" defaultRowHeight="12.75"/>
  <cols>
    <col min="1" max="1" width="5.7109375" style="41" customWidth="1"/>
    <col min="2" max="16384" width="11.421875" style="41" customWidth="1"/>
  </cols>
  <sheetData>
    <row r="1" ht="12.75">
      <c r="E1" s="342" t="s">
        <v>208</v>
      </c>
    </row>
    <row r="2" spans="4:6" ht="12.75">
      <c r="D2" s="342" t="s">
        <v>117</v>
      </c>
      <c r="E2" s="342"/>
      <c r="F2" s="164"/>
    </row>
    <row r="3" spans="4:6" ht="12.75">
      <c r="D3" s="342" t="s">
        <v>209</v>
      </c>
      <c r="E3" s="342"/>
      <c r="F3" s="164"/>
    </row>
    <row r="4" ht="12.75">
      <c r="E4" s="52" t="s">
        <v>118</v>
      </c>
    </row>
    <row r="5" ht="15.75">
      <c r="E5" s="112" t="s">
        <v>0</v>
      </c>
    </row>
    <row r="6" ht="18">
      <c r="E6" s="102" t="s">
        <v>1</v>
      </c>
    </row>
    <row r="7" ht="18">
      <c r="E7" s="102" t="s">
        <v>2</v>
      </c>
    </row>
    <row r="8" ht="15">
      <c r="E8" s="103" t="s">
        <v>3</v>
      </c>
    </row>
    <row r="9" ht="18">
      <c r="E9" s="100" t="s">
        <v>4</v>
      </c>
    </row>
    <row r="10" ht="18">
      <c r="E10" s="100" t="s">
        <v>5</v>
      </c>
    </row>
    <row r="11" ht="15">
      <c r="E11" s="99" t="s">
        <v>119</v>
      </c>
    </row>
    <row r="12" ht="15">
      <c r="E12" s="99" t="s">
        <v>120</v>
      </c>
    </row>
    <row r="14" ht="12.75">
      <c r="E14" s="101" t="s">
        <v>6</v>
      </c>
    </row>
    <row r="15" ht="12.75">
      <c r="E15" s="101" t="s">
        <v>7</v>
      </c>
    </row>
    <row r="16" ht="12.75">
      <c r="E16" s="101" t="s">
        <v>8</v>
      </c>
    </row>
    <row r="17" ht="12.75">
      <c r="E17" s="101" t="s">
        <v>9</v>
      </c>
    </row>
    <row r="18" ht="12.75">
      <c r="E18" s="101"/>
    </row>
    <row r="19" ht="12.75">
      <c r="D19"/>
    </row>
    <row r="20" spans="4:5" ht="12.75">
      <c r="D20"/>
      <c r="E20" s="101" t="s">
        <v>11</v>
      </c>
    </row>
    <row r="21" spans="4:5" ht="12.75">
      <c r="D21"/>
      <c r="E21" s="109" t="s">
        <v>12</v>
      </c>
    </row>
    <row r="22" ht="12.75">
      <c r="E22" s="109" t="s">
        <v>13</v>
      </c>
    </row>
    <row r="23" ht="12.75"/>
    <row r="24" ht="12.75">
      <c r="E24"/>
    </row>
    <row r="25" ht="12.75">
      <c r="E25" s="105"/>
    </row>
    <row r="26" spans="3:5" ht="12.75">
      <c r="C26"/>
      <c r="E26" s="111"/>
    </row>
    <row r="27" ht="12.75">
      <c r="E27" s="163" t="s">
        <v>214</v>
      </c>
    </row>
    <row r="28" ht="12.75">
      <c r="E28" s="343"/>
    </row>
    <row r="29" ht="12.75">
      <c r="C29" s="343" t="s">
        <v>210</v>
      </c>
    </row>
    <row r="30" ht="12.75">
      <c r="E30" s="163" t="s">
        <v>121</v>
      </c>
    </row>
    <row r="31" ht="12.75">
      <c r="E31" s="163" t="s">
        <v>207</v>
      </c>
    </row>
    <row r="33" ht="12.75">
      <c r="E33" s="52" t="s">
        <v>212</v>
      </c>
    </row>
    <row r="34" ht="12.75">
      <c r="E34" s="52" t="s">
        <v>213</v>
      </c>
    </row>
    <row r="36" ht="12.75">
      <c r="E36" s="111" t="s">
        <v>10</v>
      </c>
    </row>
    <row r="37" ht="12.75">
      <c r="E37" s="111" t="s">
        <v>211</v>
      </c>
    </row>
  </sheetData>
  <sheetProtection password="D419" sheet="1" objects="1" scenarios="1"/>
  <printOptions horizontalCentered="1" verticalCentered="1"/>
  <pageMargins left="0.3937007874015748" right="0.54" top="0.984251968503937" bottom="1.04" header="0.5118110236220472" footer="0.5118110236220472"/>
  <pageSetup horizontalDpi="300" verticalDpi="300" orientation="portrait" r:id="rId2"/>
  <headerFooter alignWithMargins="0">
    <oddHeader>&amp;L&amp;"Arial,Gras"Estimation des rejets d'azote et de phosphore&amp;RCorpen
</oddHeader>
    <oddFooter>&amp;R&amp;F - 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4"/>
  <dimension ref="B1:H111"/>
  <sheetViews>
    <sheetView showGridLines="0" showRowColHeaders="0" showOutlineSymbols="0" zoomScale="80" zoomScaleNormal="80" workbookViewId="0" topLeftCell="A1">
      <pane ySplit="11" topLeftCell="BM12" activePane="bottomLeft" state="frozen"/>
      <selection pane="topLeft" activeCell="C24" sqref="C24"/>
      <selection pane="bottomLeft" activeCell="C24" sqref="C24"/>
    </sheetView>
  </sheetViews>
  <sheetFormatPr defaultColWidth="11.421875" defaultRowHeight="12.75"/>
  <cols>
    <col min="1" max="1" width="3.8515625" style="0" customWidth="1"/>
    <col min="2" max="2" width="4.00390625" style="0" customWidth="1"/>
    <col min="3" max="3" width="27.8515625" style="0" customWidth="1"/>
  </cols>
  <sheetData>
    <row r="1" spans="2:8" ht="12.75">
      <c r="B1" s="41"/>
      <c r="C1" s="41"/>
      <c r="D1" s="41"/>
      <c r="E1" s="41"/>
      <c r="F1" s="41"/>
      <c r="G1" s="41"/>
      <c r="H1" s="41"/>
    </row>
    <row r="2" spans="2:7" ht="12.75">
      <c r="B2" s="41"/>
      <c r="C2" s="38" t="s">
        <v>14</v>
      </c>
      <c r="D2" s="106">
        <f>IF(Elevage!C2&lt;&gt;0,Elevage!C2,"")</f>
      </c>
      <c r="E2" s="25"/>
      <c r="F2" s="25"/>
      <c r="G2" s="26"/>
    </row>
    <row r="3" spans="2:7" ht="12.75">
      <c r="B3" s="41"/>
      <c r="C3" s="39" t="s">
        <v>15</v>
      </c>
      <c r="D3" s="8">
        <f>IF(Elevage!D3&lt;&gt;0,Elevage!D3,"")</f>
      </c>
      <c r="E3" s="41"/>
      <c r="F3" s="41"/>
      <c r="G3" s="27"/>
    </row>
    <row r="4" spans="2:7" ht="12.75">
      <c r="B4" s="41"/>
      <c r="C4" s="39"/>
      <c r="D4" s="8">
        <f>IF(Elevage!C4&lt;&gt;0,Elevage!C4,"")</f>
      </c>
      <c r="E4" s="41"/>
      <c r="F4" s="41"/>
      <c r="G4" s="27"/>
    </row>
    <row r="5" spans="2:7" ht="12.75">
      <c r="B5" s="41"/>
      <c r="C5" s="40"/>
      <c r="D5" s="107">
        <f>IF(Elevage!C5&lt;&gt;0,Elevage!C5,"")</f>
      </c>
      <c r="E5" s="28"/>
      <c r="F5" s="28"/>
      <c r="G5" s="16"/>
    </row>
    <row r="6" spans="2:8" ht="12.75">
      <c r="B6" s="41"/>
      <c r="C6" s="41"/>
      <c r="D6" s="41"/>
      <c r="E6" s="41"/>
      <c r="F6" s="41"/>
      <c r="G6" s="41"/>
      <c r="H6" s="41"/>
    </row>
    <row r="7" spans="2:8" ht="12.75">
      <c r="B7" s="41"/>
      <c r="C7" s="42" t="s">
        <v>45</v>
      </c>
      <c r="D7" s="9">
        <f>Elevage!I10</f>
        <v>37986</v>
      </c>
      <c r="E7" s="41"/>
      <c r="F7" s="41"/>
      <c r="G7" s="41"/>
      <c r="H7" s="41"/>
    </row>
    <row r="8" spans="2:8" ht="12.75">
      <c r="B8" s="41"/>
      <c r="C8" s="41"/>
      <c r="D8" s="41"/>
      <c r="E8" s="41"/>
      <c r="F8" s="41"/>
      <c r="G8" s="41"/>
      <c r="H8" s="41"/>
    </row>
    <row r="9" spans="2:8" ht="12.75">
      <c r="B9" s="41"/>
      <c r="C9" s="41"/>
      <c r="D9" s="17" t="s">
        <v>38</v>
      </c>
      <c r="E9" s="45" t="s">
        <v>39</v>
      </c>
      <c r="F9" s="45" t="s">
        <v>40</v>
      </c>
      <c r="G9" s="45" t="s">
        <v>41</v>
      </c>
      <c r="H9" s="45" t="s">
        <v>40</v>
      </c>
    </row>
    <row r="10" spans="2:8" ht="12.75">
      <c r="B10" s="41"/>
      <c r="C10" s="16"/>
      <c r="D10" s="18" t="s">
        <v>29</v>
      </c>
      <c r="E10" s="46" t="s">
        <v>42</v>
      </c>
      <c r="F10" s="46" t="s">
        <v>42</v>
      </c>
      <c r="G10" s="46" t="s">
        <v>29</v>
      </c>
      <c r="H10" s="46" t="s">
        <v>43</v>
      </c>
    </row>
    <row r="11" spans="2:8" ht="12.75">
      <c r="B11" s="41"/>
      <c r="C11" s="44" t="s">
        <v>44</v>
      </c>
      <c r="D11" s="19">
        <f>SUM(D12:D111)</f>
        <v>0</v>
      </c>
      <c r="E11" s="20">
        <f>IF(D11&lt;&gt;0,G11*6.25/D11*100,"")</f>
      </c>
      <c r="F11" s="21">
        <f>IF(D11&lt;&gt;0,H11/D11*100,"")</f>
      </c>
      <c r="G11" s="19">
        <f>SUM(G12:G111)</f>
        <v>0</v>
      </c>
      <c r="H11" s="19">
        <f>SUM(H12:H111)</f>
        <v>0</v>
      </c>
    </row>
    <row r="12" spans="2:8" ht="12.75">
      <c r="B12" s="5">
        <v>1</v>
      </c>
      <c r="C12" s="84"/>
      <c r="D12" s="85"/>
      <c r="E12" s="86"/>
      <c r="F12" s="87"/>
      <c r="G12" s="6">
        <f aca="true" t="shared" si="0" ref="G12:G27">IF(D12&lt;&gt;0,+E12/100*D12/6.25,"")</f>
      </c>
      <c r="H12" s="6">
        <f aca="true" t="shared" si="1" ref="H12:H27">IF(E12&lt;&gt;0,+F12/100*D12,"")</f>
      </c>
    </row>
    <row r="13" spans="2:8" ht="12.75">
      <c r="B13" s="5">
        <f>+B12+1</f>
        <v>2</v>
      </c>
      <c r="C13" s="84"/>
      <c r="D13" s="85"/>
      <c r="E13" s="86"/>
      <c r="F13" s="87"/>
      <c r="G13" s="6">
        <f t="shared" si="0"/>
      </c>
      <c r="H13" s="6">
        <f t="shared" si="1"/>
      </c>
    </row>
    <row r="14" spans="2:8" ht="12.75">
      <c r="B14" s="5">
        <f aca="true" t="shared" si="2" ref="B14:B29">+B13+1</f>
        <v>3</v>
      </c>
      <c r="C14" s="84"/>
      <c r="D14" s="85"/>
      <c r="E14" s="86"/>
      <c r="F14" s="87"/>
      <c r="G14" s="6">
        <f t="shared" si="0"/>
      </c>
      <c r="H14" s="6">
        <f t="shared" si="1"/>
      </c>
    </row>
    <row r="15" spans="2:8" ht="12.75">
      <c r="B15" s="5">
        <f t="shared" si="2"/>
        <v>4</v>
      </c>
      <c r="C15" s="84"/>
      <c r="D15" s="85"/>
      <c r="E15" s="86"/>
      <c r="F15" s="87"/>
      <c r="G15" s="6">
        <f t="shared" si="0"/>
      </c>
      <c r="H15" s="6">
        <f t="shared" si="1"/>
      </c>
    </row>
    <row r="16" spans="2:8" ht="12.75">
      <c r="B16" s="5">
        <f t="shared" si="2"/>
        <v>5</v>
      </c>
      <c r="C16" s="84"/>
      <c r="D16" s="85"/>
      <c r="E16" s="86"/>
      <c r="F16" s="87"/>
      <c r="G16" s="6">
        <f t="shared" si="0"/>
      </c>
      <c r="H16" s="6">
        <f t="shared" si="1"/>
      </c>
    </row>
    <row r="17" spans="2:8" ht="12.75">
      <c r="B17" s="5">
        <f t="shared" si="2"/>
        <v>6</v>
      </c>
      <c r="C17" s="84"/>
      <c r="D17" s="85"/>
      <c r="E17" s="86"/>
      <c r="F17" s="87"/>
      <c r="G17" s="6">
        <f t="shared" si="0"/>
      </c>
      <c r="H17" s="6">
        <f t="shared" si="1"/>
      </c>
    </row>
    <row r="18" spans="2:8" ht="12.75">
      <c r="B18" s="5">
        <f t="shared" si="2"/>
        <v>7</v>
      </c>
      <c r="C18" s="84"/>
      <c r="D18" s="85"/>
      <c r="E18" s="86"/>
      <c r="F18" s="87"/>
      <c r="G18" s="6">
        <f t="shared" si="0"/>
      </c>
      <c r="H18" s="6">
        <f t="shared" si="1"/>
      </c>
    </row>
    <row r="19" spans="2:8" ht="12.75">
      <c r="B19" s="5">
        <f t="shared" si="2"/>
        <v>8</v>
      </c>
      <c r="C19" s="84"/>
      <c r="D19" s="85"/>
      <c r="E19" s="86"/>
      <c r="F19" s="87"/>
      <c r="G19" s="6">
        <f t="shared" si="0"/>
      </c>
      <c r="H19" s="6">
        <f t="shared" si="1"/>
      </c>
    </row>
    <row r="20" spans="2:8" ht="12.75">
      <c r="B20" s="5">
        <f t="shared" si="2"/>
        <v>9</v>
      </c>
      <c r="C20" s="84"/>
      <c r="D20" s="85"/>
      <c r="E20" s="86"/>
      <c r="F20" s="87"/>
      <c r="G20" s="6">
        <f t="shared" si="0"/>
      </c>
      <c r="H20" s="6">
        <f t="shared" si="1"/>
      </c>
    </row>
    <row r="21" spans="2:8" ht="12.75">
      <c r="B21" s="5">
        <f t="shared" si="2"/>
        <v>10</v>
      </c>
      <c r="C21" s="84"/>
      <c r="D21" s="85"/>
      <c r="E21" s="86"/>
      <c r="F21" s="87"/>
      <c r="G21" s="6">
        <f t="shared" si="0"/>
      </c>
      <c r="H21" s="6">
        <f t="shared" si="1"/>
      </c>
    </row>
    <row r="22" spans="2:8" ht="12.75">
      <c r="B22" s="5">
        <f t="shared" si="2"/>
        <v>11</v>
      </c>
      <c r="C22" s="84"/>
      <c r="D22" s="85"/>
      <c r="E22" s="86"/>
      <c r="F22" s="87"/>
      <c r="G22" s="6">
        <f t="shared" si="0"/>
      </c>
      <c r="H22" s="6">
        <f t="shared" si="1"/>
      </c>
    </row>
    <row r="23" spans="2:8" ht="12.75">
      <c r="B23" s="5">
        <f t="shared" si="2"/>
        <v>12</v>
      </c>
      <c r="C23" s="84"/>
      <c r="D23" s="85"/>
      <c r="E23" s="86"/>
      <c r="F23" s="87"/>
      <c r="G23" s="6">
        <f t="shared" si="0"/>
      </c>
      <c r="H23" s="6">
        <f t="shared" si="1"/>
      </c>
    </row>
    <row r="24" spans="2:8" ht="12.75">
      <c r="B24" s="5">
        <f t="shared" si="2"/>
        <v>13</v>
      </c>
      <c r="C24" s="84"/>
      <c r="D24" s="85"/>
      <c r="E24" s="86"/>
      <c r="F24" s="87"/>
      <c r="G24" s="6">
        <f t="shared" si="0"/>
      </c>
      <c r="H24" s="6">
        <f t="shared" si="1"/>
      </c>
    </row>
    <row r="25" spans="2:8" ht="12.75">
      <c r="B25" s="5">
        <f t="shared" si="2"/>
        <v>14</v>
      </c>
      <c r="C25" s="84"/>
      <c r="D25" s="85"/>
      <c r="E25" s="86"/>
      <c r="F25" s="87"/>
      <c r="G25" s="6">
        <f t="shared" si="0"/>
      </c>
      <c r="H25" s="6">
        <f t="shared" si="1"/>
      </c>
    </row>
    <row r="26" spans="2:8" ht="12.75">
      <c r="B26" s="5">
        <f t="shared" si="2"/>
        <v>15</v>
      </c>
      <c r="C26" s="84"/>
      <c r="D26" s="85"/>
      <c r="E26" s="86"/>
      <c r="F26" s="87"/>
      <c r="G26" s="6">
        <f t="shared" si="0"/>
      </c>
      <c r="H26" s="6">
        <f t="shared" si="1"/>
      </c>
    </row>
    <row r="27" spans="2:8" ht="12.75">
      <c r="B27" s="5">
        <f t="shared" si="2"/>
        <v>16</v>
      </c>
      <c r="C27" s="84"/>
      <c r="D27" s="85"/>
      <c r="E27" s="86"/>
      <c r="F27" s="87"/>
      <c r="G27" s="6">
        <f t="shared" si="0"/>
      </c>
      <c r="H27" s="6">
        <f t="shared" si="1"/>
      </c>
    </row>
    <row r="28" spans="2:8" ht="12.75">
      <c r="B28" s="5">
        <f t="shared" si="2"/>
        <v>17</v>
      </c>
      <c r="C28" s="84"/>
      <c r="D28" s="85"/>
      <c r="E28" s="86"/>
      <c r="F28" s="87"/>
      <c r="G28" s="6">
        <f aca="true" t="shared" si="3" ref="G28:G43">IF(D28&lt;&gt;0,+E28/100*D28/6.25,"")</f>
      </c>
      <c r="H28" s="6">
        <f aca="true" t="shared" si="4" ref="H28:H43">IF(E28&lt;&gt;0,+F28/100*D28,"")</f>
      </c>
    </row>
    <row r="29" spans="2:8" ht="12.75">
      <c r="B29" s="5">
        <f t="shared" si="2"/>
        <v>18</v>
      </c>
      <c r="C29" s="84"/>
      <c r="D29" s="85"/>
      <c r="E29" s="86"/>
      <c r="F29" s="87"/>
      <c r="G29" s="6">
        <f t="shared" si="3"/>
      </c>
      <c r="H29" s="6">
        <f t="shared" si="4"/>
      </c>
    </row>
    <row r="30" spans="2:8" ht="12.75">
      <c r="B30" s="5">
        <f aca="true" t="shared" si="5" ref="B30:B45">+B29+1</f>
        <v>19</v>
      </c>
      <c r="C30" s="84"/>
      <c r="D30" s="85"/>
      <c r="E30" s="86"/>
      <c r="F30" s="87"/>
      <c r="G30" s="6">
        <f t="shared" si="3"/>
      </c>
      <c r="H30" s="6">
        <f t="shared" si="4"/>
      </c>
    </row>
    <row r="31" spans="2:8" ht="12.75">
      <c r="B31" s="5">
        <f t="shared" si="5"/>
        <v>20</v>
      </c>
      <c r="C31" s="84"/>
      <c r="D31" s="85"/>
      <c r="E31" s="86"/>
      <c r="F31" s="87"/>
      <c r="G31" s="6">
        <f t="shared" si="3"/>
      </c>
      <c r="H31" s="6">
        <f t="shared" si="4"/>
      </c>
    </row>
    <row r="32" spans="2:8" ht="12.75">
      <c r="B32" s="5">
        <f t="shared" si="5"/>
        <v>21</v>
      </c>
      <c r="C32" s="84"/>
      <c r="D32" s="85"/>
      <c r="E32" s="86"/>
      <c r="F32" s="87"/>
      <c r="G32" s="6">
        <f t="shared" si="3"/>
      </c>
      <c r="H32" s="6">
        <f t="shared" si="4"/>
      </c>
    </row>
    <row r="33" spans="2:8" ht="12.75">
      <c r="B33" s="5">
        <f t="shared" si="5"/>
        <v>22</v>
      </c>
      <c r="C33" s="84"/>
      <c r="D33" s="85"/>
      <c r="E33" s="86"/>
      <c r="F33" s="87"/>
      <c r="G33" s="6">
        <f t="shared" si="3"/>
      </c>
      <c r="H33" s="6">
        <f t="shared" si="4"/>
      </c>
    </row>
    <row r="34" spans="2:8" ht="12.75">
      <c r="B34" s="5">
        <f t="shared" si="5"/>
        <v>23</v>
      </c>
      <c r="C34" s="84"/>
      <c r="D34" s="85"/>
      <c r="E34" s="86"/>
      <c r="F34" s="87"/>
      <c r="G34" s="6">
        <f t="shared" si="3"/>
      </c>
      <c r="H34" s="6">
        <f t="shared" si="4"/>
      </c>
    </row>
    <row r="35" spans="2:8" ht="12.75">
      <c r="B35" s="5">
        <f t="shared" si="5"/>
        <v>24</v>
      </c>
      <c r="C35" s="84"/>
      <c r="D35" s="85"/>
      <c r="E35" s="86"/>
      <c r="F35" s="87"/>
      <c r="G35" s="6">
        <f t="shared" si="3"/>
      </c>
      <c r="H35" s="6">
        <f t="shared" si="4"/>
      </c>
    </row>
    <row r="36" spans="2:8" ht="12.75">
      <c r="B36" s="5">
        <f t="shared" si="5"/>
        <v>25</v>
      </c>
      <c r="C36" s="84"/>
      <c r="D36" s="85"/>
      <c r="E36" s="86"/>
      <c r="F36" s="87"/>
      <c r="G36" s="6">
        <f t="shared" si="3"/>
      </c>
      <c r="H36" s="6">
        <f t="shared" si="4"/>
      </c>
    </row>
    <row r="37" spans="2:8" ht="12.75">
      <c r="B37" s="5">
        <f t="shared" si="5"/>
        <v>26</v>
      </c>
      <c r="C37" s="84"/>
      <c r="D37" s="85"/>
      <c r="E37" s="86"/>
      <c r="F37" s="87"/>
      <c r="G37" s="6">
        <f t="shared" si="3"/>
      </c>
      <c r="H37" s="6">
        <f t="shared" si="4"/>
      </c>
    </row>
    <row r="38" spans="2:8" ht="12.75">
      <c r="B38" s="5">
        <f t="shared" si="5"/>
        <v>27</v>
      </c>
      <c r="C38" s="84"/>
      <c r="D38" s="85"/>
      <c r="E38" s="86"/>
      <c r="F38" s="87"/>
      <c r="G38" s="6">
        <f t="shared" si="3"/>
      </c>
      <c r="H38" s="6">
        <f t="shared" si="4"/>
      </c>
    </row>
    <row r="39" spans="2:8" ht="12.75">
      <c r="B39" s="5">
        <f t="shared" si="5"/>
        <v>28</v>
      </c>
      <c r="C39" s="84"/>
      <c r="D39" s="85"/>
      <c r="E39" s="86"/>
      <c r="F39" s="87"/>
      <c r="G39" s="6">
        <f t="shared" si="3"/>
      </c>
      <c r="H39" s="6">
        <f t="shared" si="4"/>
      </c>
    </row>
    <row r="40" spans="2:8" ht="12.75">
      <c r="B40" s="5">
        <f t="shared" si="5"/>
        <v>29</v>
      </c>
      <c r="C40" s="84"/>
      <c r="D40" s="85"/>
      <c r="E40" s="86"/>
      <c r="F40" s="87"/>
      <c r="G40" s="6">
        <f t="shared" si="3"/>
      </c>
      <c r="H40" s="6">
        <f t="shared" si="4"/>
      </c>
    </row>
    <row r="41" spans="2:8" ht="12.75">
      <c r="B41" s="5">
        <f t="shared" si="5"/>
        <v>30</v>
      </c>
      <c r="C41" s="84"/>
      <c r="D41" s="85"/>
      <c r="E41" s="86"/>
      <c r="F41" s="87"/>
      <c r="G41" s="6">
        <f t="shared" si="3"/>
      </c>
      <c r="H41" s="6">
        <f t="shared" si="4"/>
      </c>
    </row>
    <row r="42" spans="2:8" ht="12.75">
      <c r="B42" s="5">
        <f t="shared" si="5"/>
        <v>31</v>
      </c>
      <c r="C42" s="84"/>
      <c r="D42" s="85"/>
      <c r="E42" s="86"/>
      <c r="F42" s="87"/>
      <c r="G42" s="6">
        <f t="shared" si="3"/>
      </c>
      <c r="H42" s="6">
        <f t="shared" si="4"/>
      </c>
    </row>
    <row r="43" spans="2:8" ht="12.75">
      <c r="B43" s="5">
        <f t="shared" si="5"/>
        <v>32</v>
      </c>
      <c r="C43" s="84"/>
      <c r="D43" s="85"/>
      <c r="E43" s="86"/>
      <c r="F43" s="87"/>
      <c r="G43" s="6">
        <f t="shared" si="3"/>
      </c>
      <c r="H43" s="6">
        <f t="shared" si="4"/>
      </c>
    </row>
    <row r="44" spans="2:8" ht="12.75">
      <c r="B44" s="5">
        <f t="shared" si="5"/>
        <v>33</v>
      </c>
      <c r="C44" s="84"/>
      <c r="D44" s="85"/>
      <c r="E44" s="86"/>
      <c r="F44" s="87"/>
      <c r="G44" s="6">
        <f aca="true" t="shared" si="6" ref="G44:G59">IF(D44&lt;&gt;0,+E44/100*D44/6.25,"")</f>
      </c>
      <c r="H44" s="6">
        <f aca="true" t="shared" si="7" ref="H44:H59">IF(E44&lt;&gt;0,+F44/100*D44,"")</f>
      </c>
    </row>
    <row r="45" spans="2:8" ht="12.75">
      <c r="B45" s="5">
        <f t="shared" si="5"/>
        <v>34</v>
      </c>
      <c r="C45" s="84"/>
      <c r="D45" s="85"/>
      <c r="E45" s="86"/>
      <c r="F45" s="87"/>
      <c r="G45" s="6">
        <f t="shared" si="6"/>
      </c>
      <c r="H45" s="6">
        <f t="shared" si="7"/>
      </c>
    </row>
    <row r="46" spans="2:8" ht="12.75">
      <c r="B46" s="5">
        <f aca="true" t="shared" si="8" ref="B46:B61">+B45+1</f>
        <v>35</v>
      </c>
      <c r="C46" s="84"/>
      <c r="D46" s="85"/>
      <c r="E46" s="86"/>
      <c r="F46" s="87"/>
      <c r="G46" s="6">
        <f t="shared" si="6"/>
      </c>
      <c r="H46" s="6">
        <f t="shared" si="7"/>
      </c>
    </row>
    <row r="47" spans="2:8" ht="12.75">
      <c r="B47" s="5">
        <f t="shared" si="8"/>
        <v>36</v>
      </c>
      <c r="C47" s="84"/>
      <c r="D47" s="85"/>
      <c r="E47" s="86"/>
      <c r="F47" s="87"/>
      <c r="G47" s="6">
        <f t="shared" si="6"/>
      </c>
      <c r="H47" s="6">
        <f t="shared" si="7"/>
      </c>
    </row>
    <row r="48" spans="2:8" ht="12.75">
      <c r="B48" s="5">
        <f t="shared" si="8"/>
        <v>37</v>
      </c>
      <c r="C48" s="84"/>
      <c r="D48" s="85"/>
      <c r="E48" s="86"/>
      <c r="F48" s="87"/>
      <c r="G48" s="6">
        <f t="shared" si="6"/>
      </c>
      <c r="H48" s="6">
        <f t="shared" si="7"/>
      </c>
    </row>
    <row r="49" spans="2:8" ht="12.75">
      <c r="B49" s="5">
        <f t="shared" si="8"/>
        <v>38</v>
      </c>
      <c r="C49" s="84"/>
      <c r="D49" s="85"/>
      <c r="E49" s="86"/>
      <c r="F49" s="87"/>
      <c r="G49" s="6">
        <f t="shared" si="6"/>
      </c>
      <c r="H49" s="6">
        <f t="shared" si="7"/>
      </c>
    </row>
    <row r="50" spans="2:8" ht="12.75">
      <c r="B50" s="5">
        <f t="shared" si="8"/>
        <v>39</v>
      </c>
      <c r="C50" s="84"/>
      <c r="D50" s="85"/>
      <c r="E50" s="86"/>
      <c r="F50" s="87"/>
      <c r="G50" s="6">
        <f t="shared" si="6"/>
      </c>
      <c r="H50" s="6">
        <f t="shared" si="7"/>
      </c>
    </row>
    <row r="51" spans="2:8" ht="12.75">
      <c r="B51" s="5">
        <f t="shared" si="8"/>
        <v>40</v>
      </c>
      <c r="C51" s="84"/>
      <c r="D51" s="85"/>
      <c r="E51" s="86"/>
      <c r="F51" s="87"/>
      <c r="G51" s="6">
        <f t="shared" si="6"/>
      </c>
      <c r="H51" s="6">
        <f t="shared" si="7"/>
      </c>
    </row>
    <row r="52" spans="2:8" ht="12.75">
      <c r="B52" s="5">
        <f t="shared" si="8"/>
        <v>41</v>
      </c>
      <c r="C52" s="84"/>
      <c r="D52" s="85"/>
      <c r="E52" s="86"/>
      <c r="F52" s="87"/>
      <c r="G52" s="6">
        <f t="shared" si="6"/>
      </c>
      <c r="H52" s="6">
        <f t="shared" si="7"/>
      </c>
    </row>
    <row r="53" spans="2:8" ht="12.75">
      <c r="B53" s="5">
        <f t="shared" si="8"/>
        <v>42</v>
      </c>
      <c r="C53" s="84"/>
      <c r="D53" s="85"/>
      <c r="E53" s="86"/>
      <c r="F53" s="87"/>
      <c r="G53" s="6">
        <f t="shared" si="6"/>
      </c>
      <c r="H53" s="6">
        <f t="shared" si="7"/>
      </c>
    </row>
    <row r="54" spans="2:8" ht="12.75">
      <c r="B54" s="5">
        <f t="shared" si="8"/>
        <v>43</v>
      </c>
      <c r="C54" s="84"/>
      <c r="D54" s="85"/>
      <c r="E54" s="86"/>
      <c r="F54" s="87"/>
      <c r="G54" s="6">
        <f t="shared" si="6"/>
      </c>
      <c r="H54" s="6">
        <f t="shared" si="7"/>
      </c>
    </row>
    <row r="55" spans="2:8" ht="12.75">
      <c r="B55" s="5">
        <f t="shared" si="8"/>
        <v>44</v>
      </c>
      <c r="C55" s="84"/>
      <c r="D55" s="85"/>
      <c r="E55" s="86"/>
      <c r="F55" s="87"/>
      <c r="G55" s="6">
        <f t="shared" si="6"/>
      </c>
      <c r="H55" s="6">
        <f t="shared" si="7"/>
      </c>
    </row>
    <row r="56" spans="2:8" ht="12.75">
      <c r="B56" s="5">
        <f t="shared" si="8"/>
        <v>45</v>
      </c>
      <c r="C56" s="84"/>
      <c r="D56" s="85"/>
      <c r="E56" s="86"/>
      <c r="F56" s="87"/>
      <c r="G56" s="6">
        <f t="shared" si="6"/>
      </c>
      <c r="H56" s="6">
        <f t="shared" si="7"/>
      </c>
    </row>
    <row r="57" spans="2:8" ht="12.75">
      <c r="B57" s="5">
        <f t="shared" si="8"/>
        <v>46</v>
      </c>
      <c r="C57" s="84"/>
      <c r="D57" s="85"/>
      <c r="E57" s="86"/>
      <c r="F57" s="87"/>
      <c r="G57" s="6">
        <f t="shared" si="6"/>
      </c>
      <c r="H57" s="6">
        <f t="shared" si="7"/>
      </c>
    </row>
    <row r="58" spans="2:8" ht="12.75">
      <c r="B58" s="5">
        <f t="shared" si="8"/>
        <v>47</v>
      </c>
      <c r="C58" s="84"/>
      <c r="D58" s="85"/>
      <c r="E58" s="86"/>
      <c r="F58" s="87"/>
      <c r="G58" s="6">
        <f t="shared" si="6"/>
      </c>
      <c r="H58" s="6">
        <f t="shared" si="7"/>
      </c>
    </row>
    <row r="59" spans="2:8" ht="12.75">
      <c r="B59" s="5">
        <f t="shared" si="8"/>
        <v>48</v>
      </c>
      <c r="C59" s="84"/>
      <c r="D59" s="85"/>
      <c r="E59" s="86"/>
      <c r="F59" s="87"/>
      <c r="G59" s="6">
        <f t="shared" si="6"/>
      </c>
      <c r="H59" s="6">
        <f t="shared" si="7"/>
      </c>
    </row>
    <row r="60" spans="2:8" ht="12.75">
      <c r="B60" s="5">
        <f t="shared" si="8"/>
        <v>49</v>
      </c>
      <c r="C60" s="84"/>
      <c r="D60" s="85"/>
      <c r="E60" s="86"/>
      <c r="F60" s="87"/>
      <c r="G60" s="6">
        <f aca="true" t="shared" si="9" ref="G60:G75">IF(D60&lt;&gt;0,+E60/100*D60/6.25,"")</f>
      </c>
      <c r="H60" s="6">
        <f aca="true" t="shared" si="10" ref="H60:H75">IF(E60&lt;&gt;0,+F60/100*D60,"")</f>
      </c>
    </row>
    <row r="61" spans="2:8" ht="12.75">
      <c r="B61" s="5">
        <f t="shared" si="8"/>
        <v>50</v>
      </c>
      <c r="C61" s="84"/>
      <c r="D61" s="85"/>
      <c r="E61" s="86"/>
      <c r="F61" s="87"/>
      <c r="G61" s="6">
        <f t="shared" si="9"/>
      </c>
      <c r="H61" s="6">
        <f t="shared" si="10"/>
      </c>
    </row>
    <row r="62" spans="2:8" ht="12.75">
      <c r="B62" s="5">
        <f aca="true" t="shared" si="11" ref="B62:B77">+B61+1</f>
        <v>51</v>
      </c>
      <c r="C62" s="84"/>
      <c r="D62" s="85"/>
      <c r="E62" s="86"/>
      <c r="F62" s="87"/>
      <c r="G62" s="6">
        <f t="shared" si="9"/>
      </c>
      <c r="H62" s="6">
        <f t="shared" si="10"/>
      </c>
    </row>
    <row r="63" spans="2:8" ht="12.75">
      <c r="B63" s="5">
        <f t="shared" si="11"/>
        <v>52</v>
      </c>
      <c r="C63" s="84"/>
      <c r="D63" s="85"/>
      <c r="E63" s="86"/>
      <c r="F63" s="87"/>
      <c r="G63" s="6">
        <f t="shared" si="9"/>
      </c>
      <c r="H63" s="6">
        <f t="shared" si="10"/>
      </c>
    </row>
    <row r="64" spans="2:8" ht="12.75">
      <c r="B64" s="5">
        <f t="shared" si="11"/>
        <v>53</v>
      </c>
      <c r="C64" s="84"/>
      <c r="D64" s="85"/>
      <c r="E64" s="86"/>
      <c r="F64" s="87"/>
      <c r="G64" s="6">
        <f t="shared" si="9"/>
      </c>
      <c r="H64" s="6">
        <f t="shared" si="10"/>
      </c>
    </row>
    <row r="65" spans="2:8" ht="12.75">
      <c r="B65" s="5">
        <f t="shared" si="11"/>
        <v>54</v>
      </c>
      <c r="C65" s="84"/>
      <c r="D65" s="85"/>
      <c r="E65" s="86"/>
      <c r="F65" s="87"/>
      <c r="G65" s="6">
        <f t="shared" si="9"/>
      </c>
      <c r="H65" s="6">
        <f t="shared" si="10"/>
      </c>
    </row>
    <row r="66" spans="2:8" ht="12.75">
      <c r="B66" s="5">
        <f t="shared" si="11"/>
        <v>55</v>
      </c>
      <c r="C66" s="84"/>
      <c r="D66" s="85"/>
      <c r="E66" s="86"/>
      <c r="F66" s="87"/>
      <c r="G66" s="6">
        <f t="shared" si="9"/>
      </c>
      <c r="H66" s="6">
        <f t="shared" si="10"/>
      </c>
    </row>
    <row r="67" spans="2:8" ht="12.75">
      <c r="B67" s="5">
        <f t="shared" si="11"/>
        <v>56</v>
      </c>
      <c r="C67" s="84"/>
      <c r="D67" s="85"/>
      <c r="E67" s="86"/>
      <c r="F67" s="87"/>
      <c r="G67" s="6">
        <f t="shared" si="9"/>
      </c>
      <c r="H67" s="6">
        <f t="shared" si="10"/>
      </c>
    </row>
    <row r="68" spans="2:8" ht="12.75">
      <c r="B68" s="5">
        <f t="shared" si="11"/>
        <v>57</v>
      </c>
      <c r="C68" s="84"/>
      <c r="D68" s="85"/>
      <c r="E68" s="86"/>
      <c r="F68" s="87"/>
      <c r="G68" s="6">
        <f t="shared" si="9"/>
      </c>
      <c r="H68" s="6">
        <f t="shared" si="10"/>
      </c>
    </row>
    <row r="69" spans="2:8" ht="12.75">
      <c r="B69" s="5">
        <f t="shared" si="11"/>
        <v>58</v>
      </c>
      <c r="C69" s="84"/>
      <c r="D69" s="85"/>
      <c r="E69" s="86"/>
      <c r="F69" s="87"/>
      <c r="G69" s="6">
        <f t="shared" si="9"/>
      </c>
      <c r="H69" s="6">
        <f t="shared" si="10"/>
      </c>
    </row>
    <row r="70" spans="2:8" ht="12.75">
      <c r="B70" s="5">
        <f t="shared" si="11"/>
        <v>59</v>
      </c>
      <c r="C70" s="84"/>
      <c r="D70" s="85"/>
      <c r="E70" s="86"/>
      <c r="F70" s="87"/>
      <c r="G70" s="6">
        <f t="shared" si="9"/>
      </c>
      <c r="H70" s="6">
        <f t="shared" si="10"/>
      </c>
    </row>
    <row r="71" spans="2:8" ht="12.75">
      <c r="B71" s="5">
        <f t="shared" si="11"/>
        <v>60</v>
      </c>
      <c r="C71" s="84"/>
      <c r="D71" s="85"/>
      <c r="E71" s="86"/>
      <c r="F71" s="87"/>
      <c r="G71" s="6">
        <f t="shared" si="9"/>
      </c>
      <c r="H71" s="6">
        <f t="shared" si="10"/>
      </c>
    </row>
    <row r="72" spans="2:8" ht="12.75">
      <c r="B72" s="5">
        <f t="shared" si="11"/>
        <v>61</v>
      </c>
      <c r="C72" s="84"/>
      <c r="D72" s="85"/>
      <c r="E72" s="86"/>
      <c r="F72" s="87"/>
      <c r="G72" s="6">
        <f t="shared" si="9"/>
      </c>
      <c r="H72" s="6">
        <f t="shared" si="10"/>
      </c>
    </row>
    <row r="73" spans="2:8" ht="12.75">
      <c r="B73" s="5">
        <f t="shared" si="11"/>
        <v>62</v>
      </c>
      <c r="C73" s="84"/>
      <c r="D73" s="85"/>
      <c r="E73" s="86"/>
      <c r="F73" s="87"/>
      <c r="G73" s="6">
        <f t="shared" si="9"/>
      </c>
      <c r="H73" s="6">
        <f t="shared" si="10"/>
      </c>
    </row>
    <row r="74" spans="2:8" ht="12.75">
      <c r="B74" s="5">
        <f t="shared" si="11"/>
        <v>63</v>
      </c>
      <c r="C74" s="84"/>
      <c r="D74" s="85"/>
      <c r="E74" s="86"/>
      <c r="F74" s="87"/>
      <c r="G74" s="6">
        <f t="shared" si="9"/>
      </c>
      <c r="H74" s="6">
        <f t="shared" si="10"/>
      </c>
    </row>
    <row r="75" spans="2:8" ht="12.75">
      <c r="B75" s="5">
        <f t="shared" si="11"/>
        <v>64</v>
      </c>
      <c r="C75" s="84"/>
      <c r="D75" s="85"/>
      <c r="E75" s="86"/>
      <c r="F75" s="87"/>
      <c r="G75" s="6">
        <f t="shared" si="9"/>
      </c>
      <c r="H75" s="6">
        <f t="shared" si="10"/>
      </c>
    </row>
    <row r="76" spans="2:8" ht="12.75">
      <c r="B76" s="5">
        <f t="shared" si="11"/>
        <v>65</v>
      </c>
      <c r="C76" s="84"/>
      <c r="D76" s="85"/>
      <c r="E76" s="86"/>
      <c r="F76" s="87"/>
      <c r="G76" s="6">
        <f aca="true" t="shared" si="12" ref="G76:G91">IF(D76&lt;&gt;0,+E76/100*D76/6.25,"")</f>
      </c>
      <c r="H76" s="6">
        <f aca="true" t="shared" si="13" ref="H76:H91">IF(E76&lt;&gt;0,+F76/100*D76,"")</f>
      </c>
    </row>
    <row r="77" spans="2:8" ht="12.75">
      <c r="B77" s="5">
        <f t="shared" si="11"/>
        <v>66</v>
      </c>
      <c r="C77" s="84"/>
      <c r="D77" s="85"/>
      <c r="E77" s="86"/>
      <c r="F77" s="87"/>
      <c r="G77" s="6">
        <f t="shared" si="12"/>
      </c>
      <c r="H77" s="6">
        <f t="shared" si="13"/>
      </c>
    </row>
    <row r="78" spans="2:8" ht="12.75">
      <c r="B78" s="5">
        <f aca="true" t="shared" si="14" ref="B78:B93">+B77+1</f>
        <v>67</v>
      </c>
      <c r="C78" s="84"/>
      <c r="D78" s="85"/>
      <c r="E78" s="86"/>
      <c r="F78" s="87"/>
      <c r="G78" s="6">
        <f t="shared" si="12"/>
      </c>
      <c r="H78" s="6">
        <f t="shared" si="13"/>
      </c>
    </row>
    <row r="79" spans="2:8" ht="12.75">
      <c r="B79" s="5">
        <f t="shared" si="14"/>
        <v>68</v>
      </c>
      <c r="C79" s="84"/>
      <c r="D79" s="85"/>
      <c r="E79" s="86"/>
      <c r="F79" s="87"/>
      <c r="G79" s="6">
        <f t="shared" si="12"/>
      </c>
      <c r="H79" s="6">
        <f t="shared" si="13"/>
      </c>
    </row>
    <row r="80" spans="2:8" ht="12.75">
      <c r="B80" s="5">
        <f t="shared" si="14"/>
        <v>69</v>
      </c>
      <c r="C80" s="84"/>
      <c r="D80" s="85"/>
      <c r="E80" s="86"/>
      <c r="F80" s="87"/>
      <c r="G80" s="6">
        <f t="shared" si="12"/>
      </c>
      <c r="H80" s="6">
        <f t="shared" si="13"/>
      </c>
    </row>
    <row r="81" spans="2:8" ht="12.75">
      <c r="B81" s="5">
        <f t="shared" si="14"/>
        <v>70</v>
      </c>
      <c r="C81" s="84"/>
      <c r="D81" s="85"/>
      <c r="E81" s="86"/>
      <c r="F81" s="87"/>
      <c r="G81" s="6">
        <f t="shared" si="12"/>
      </c>
      <c r="H81" s="6">
        <f t="shared" si="13"/>
      </c>
    </row>
    <row r="82" spans="2:8" ht="12.75">
      <c r="B82" s="5">
        <f t="shared" si="14"/>
        <v>71</v>
      </c>
      <c r="C82" s="84"/>
      <c r="D82" s="85"/>
      <c r="E82" s="86"/>
      <c r="F82" s="87"/>
      <c r="G82" s="6">
        <f t="shared" si="12"/>
      </c>
      <c r="H82" s="6">
        <f t="shared" si="13"/>
      </c>
    </row>
    <row r="83" spans="2:8" ht="12.75">
      <c r="B83" s="5">
        <f t="shared" si="14"/>
        <v>72</v>
      </c>
      <c r="C83" s="84"/>
      <c r="D83" s="85"/>
      <c r="E83" s="86"/>
      <c r="F83" s="87"/>
      <c r="G83" s="6">
        <f t="shared" si="12"/>
      </c>
      <c r="H83" s="6">
        <f t="shared" si="13"/>
      </c>
    </row>
    <row r="84" spans="2:8" ht="12.75">
      <c r="B84" s="5">
        <f t="shared" si="14"/>
        <v>73</v>
      </c>
      <c r="C84" s="84"/>
      <c r="D84" s="85"/>
      <c r="E84" s="86"/>
      <c r="F84" s="87"/>
      <c r="G84" s="6">
        <f t="shared" si="12"/>
      </c>
      <c r="H84" s="6">
        <f t="shared" si="13"/>
      </c>
    </row>
    <row r="85" spans="2:8" ht="12.75">
      <c r="B85" s="5">
        <f t="shared" si="14"/>
        <v>74</v>
      </c>
      <c r="C85" s="84"/>
      <c r="D85" s="85"/>
      <c r="E85" s="86"/>
      <c r="F85" s="87"/>
      <c r="G85" s="6">
        <f t="shared" si="12"/>
      </c>
      <c r="H85" s="6">
        <f t="shared" si="13"/>
      </c>
    </row>
    <row r="86" spans="2:8" ht="12.75">
      <c r="B86" s="5">
        <f t="shared" si="14"/>
        <v>75</v>
      </c>
      <c r="C86" s="84"/>
      <c r="D86" s="85"/>
      <c r="E86" s="86"/>
      <c r="F86" s="87"/>
      <c r="G86" s="6">
        <f t="shared" si="12"/>
      </c>
      <c r="H86" s="6">
        <f t="shared" si="13"/>
      </c>
    </row>
    <row r="87" spans="2:8" ht="12.75">
      <c r="B87" s="5">
        <f t="shared" si="14"/>
        <v>76</v>
      </c>
      <c r="C87" s="84"/>
      <c r="D87" s="85"/>
      <c r="E87" s="86"/>
      <c r="F87" s="87"/>
      <c r="G87" s="6">
        <f t="shared" si="12"/>
      </c>
      <c r="H87" s="6">
        <f t="shared" si="13"/>
      </c>
    </row>
    <row r="88" spans="2:8" ht="12.75">
      <c r="B88" s="5">
        <f t="shared" si="14"/>
        <v>77</v>
      </c>
      <c r="C88" s="84"/>
      <c r="D88" s="85"/>
      <c r="E88" s="86"/>
      <c r="F88" s="87"/>
      <c r="G88" s="6">
        <f t="shared" si="12"/>
      </c>
      <c r="H88" s="6">
        <f t="shared" si="13"/>
      </c>
    </row>
    <row r="89" spans="2:8" ht="12.75">
      <c r="B89" s="5">
        <f t="shared" si="14"/>
        <v>78</v>
      </c>
      <c r="C89" s="84"/>
      <c r="D89" s="85"/>
      <c r="E89" s="86"/>
      <c r="F89" s="87"/>
      <c r="G89" s="6">
        <f t="shared" si="12"/>
      </c>
      <c r="H89" s="6">
        <f t="shared" si="13"/>
      </c>
    </row>
    <row r="90" spans="2:8" ht="12.75">
      <c r="B90" s="5">
        <f t="shared" si="14"/>
        <v>79</v>
      </c>
      <c r="C90" s="84"/>
      <c r="D90" s="85"/>
      <c r="E90" s="86"/>
      <c r="F90" s="87"/>
      <c r="G90" s="6">
        <f t="shared" si="12"/>
      </c>
      <c r="H90" s="6">
        <f t="shared" si="13"/>
      </c>
    </row>
    <row r="91" spans="2:8" ht="12.75">
      <c r="B91" s="5">
        <f t="shared" si="14"/>
        <v>80</v>
      </c>
      <c r="C91" s="84"/>
      <c r="D91" s="85"/>
      <c r="E91" s="86"/>
      <c r="F91" s="87"/>
      <c r="G91" s="6">
        <f t="shared" si="12"/>
      </c>
      <c r="H91" s="6">
        <f t="shared" si="13"/>
      </c>
    </row>
    <row r="92" spans="2:8" ht="12.75">
      <c r="B92" s="5">
        <f t="shared" si="14"/>
        <v>81</v>
      </c>
      <c r="C92" s="84"/>
      <c r="D92" s="85"/>
      <c r="E92" s="86"/>
      <c r="F92" s="87"/>
      <c r="G92" s="6">
        <f aca="true" t="shared" si="15" ref="G92:G107">IF(D92&lt;&gt;0,+E92/100*D92/6.25,"")</f>
      </c>
      <c r="H92" s="6">
        <f aca="true" t="shared" si="16" ref="H92:H107">IF(E92&lt;&gt;0,+F92/100*D92,"")</f>
      </c>
    </row>
    <row r="93" spans="2:8" ht="12.75">
      <c r="B93" s="5">
        <f t="shared" si="14"/>
        <v>82</v>
      </c>
      <c r="C93" s="84"/>
      <c r="D93" s="85"/>
      <c r="E93" s="86"/>
      <c r="F93" s="87"/>
      <c r="G93" s="6">
        <f t="shared" si="15"/>
      </c>
      <c r="H93" s="6">
        <f t="shared" si="16"/>
      </c>
    </row>
    <row r="94" spans="2:8" ht="12.75">
      <c r="B94" s="5">
        <f aca="true" t="shared" si="17" ref="B94:B109">+B93+1</f>
        <v>83</v>
      </c>
      <c r="C94" s="84"/>
      <c r="D94" s="85"/>
      <c r="E94" s="86"/>
      <c r="F94" s="87"/>
      <c r="G94" s="6">
        <f t="shared" si="15"/>
      </c>
      <c r="H94" s="6">
        <f t="shared" si="16"/>
      </c>
    </row>
    <row r="95" spans="2:8" ht="12.75">
      <c r="B95" s="5">
        <f t="shared" si="17"/>
        <v>84</v>
      </c>
      <c r="C95" s="84"/>
      <c r="D95" s="85"/>
      <c r="E95" s="86"/>
      <c r="F95" s="87"/>
      <c r="G95" s="6">
        <f t="shared" si="15"/>
      </c>
      <c r="H95" s="6">
        <f t="shared" si="16"/>
      </c>
    </row>
    <row r="96" spans="2:8" ht="12.75">
      <c r="B96" s="5">
        <f t="shared" si="17"/>
        <v>85</v>
      </c>
      <c r="C96" s="84"/>
      <c r="D96" s="85"/>
      <c r="E96" s="86"/>
      <c r="F96" s="87"/>
      <c r="G96" s="6">
        <f t="shared" si="15"/>
      </c>
      <c r="H96" s="6">
        <f t="shared" si="16"/>
      </c>
    </row>
    <row r="97" spans="2:8" ht="12.75">
      <c r="B97" s="5">
        <f t="shared" si="17"/>
        <v>86</v>
      </c>
      <c r="C97" s="84"/>
      <c r="D97" s="85"/>
      <c r="E97" s="86"/>
      <c r="F97" s="87"/>
      <c r="G97" s="6">
        <f t="shared" si="15"/>
      </c>
      <c r="H97" s="6">
        <f t="shared" si="16"/>
      </c>
    </row>
    <row r="98" spans="2:8" ht="12.75">
      <c r="B98" s="5">
        <f t="shared" si="17"/>
        <v>87</v>
      </c>
      <c r="C98" s="84"/>
      <c r="D98" s="85"/>
      <c r="E98" s="86"/>
      <c r="F98" s="87"/>
      <c r="G98" s="6">
        <f t="shared" si="15"/>
      </c>
      <c r="H98" s="6">
        <f t="shared" si="16"/>
      </c>
    </row>
    <row r="99" spans="2:8" ht="12.75">
      <c r="B99" s="5">
        <f t="shared" si="17"/>
        <v>88</v>
      </c>
      <c r="C99" s="84"/>
      <c r="D99" s="85"/>
      <c r="E99" s="86"/>
      <c r="F99" s="87"/>
      <c r="G99" s="6">
        <f t="shared" si="15"/>
      </c>
      <c r="H99" s="6">
        <f t="shared" si="16"/>
      </c>
    </row>
    <row r="100" spans="2:8" ht="12.75">
      <c r="B100" s="5">
        <f t="shared" si="17"/>
        <v>89</v>
      </c>
      <c r="C100" s="84"/>
      <c r="D100" s="85"/>
      <c r="E100" s="86"/>
      <c r="F100" s="87"/>
      <c r="G100" s="6">
        <f t="shared" si="15"/>
      </c>
      <c r="H100" s="6">
        <f t="shared" si="16"/>
      </c>
    </row>
    <row r="101" spans="2:8" ht="12.75">
      <c r="B101" s="5">
        <f t="shared" si="17"/>
        <v>90</v>
      </c>
      <c r="C101" s="84"/>
      <c r="D101" s="85"/>
      <c r="E101" s="86"/>
      <c r="F101" s="87"/>
      <c r="G101" s="6">
        <f t="shared" si="15"/>
      </c>
      <c r="H101" s="6">
        <f t="shared" si="16"/>
      </c>
    </row>
    <row r="102" spans="2:8" ht="12.75">
      <c r="B102" s="5">
        <f t="shared" si="17"/>
        <v>91</v>
      </c>
      <c r="C102" s="84"/>
      <c r="D102" s="85"/>
      <c r="E102" s="86"/>
      <c r="F102" s="87"/>
      <c r="G102" s="6">
        <f t="shared" si="15"/>
      </c>
      <c r="H102" s="6">
        <f t="shared" si="16"/>
      </c>
    </row>
    <row r="103" spans="2:8" ht="12.75">
      <c r="B103" s="5">
        <f t="shared" si="17"/>
        <v>92</v>
      </c>
      <c r="C103" s="84"/>
      <c r="D103" s="85"/>
      <c r="E103" s="86"/>
      <c r="F103" s="87"/>
      <c r="G103" s="6">
        <f t="shared" si="15"/>
      </c>
      <c r="H103" s="6">
        <f t="shared" si="16"/>
      </c>
    </row>
    <row r="104" spans="2:8" ht="12.75">
      <c r="B104" s="5">
        <f t="shared" si="17"/>
        <v>93</v>
      </c>
      <c r="C104" s="84"/>
      <c r="D104" s="85"/>
      <c r="E104" s="86"/>
      <c r="F104" s="87"/>
      <c r="G104" s="6">
        <f t="shared" si="15"/>
      </c>
      <c r="H104" s="6">
        <f t="shared" si="16"/>
      </c>
    </row>
    <row r="105" spans="2:8" ht="12.75">
      <c r="B105" s="5">
        <f t="shared" si="17"/>
        <v>94</v>
      </c>
      <c r="C105" s="84"/>
      <c r="D105" s="85"/>
      <c r="E105" s="86"/>
      <c r="F105" s="87"/>
      <c r="G105" s="6">
        <f t="shared" si="15"/>
      </c>
      <c r="H105" s="6">
        <f t="shared" si="16"/>
      </c>
    </row>
    <row r="106" spans="2:8" ht="12.75">
      <c r="B106" s="5">
        <f t="shared" si="17"/>
        <v>95</v>
      </c>
      <c r="C106" s="84"/>
      <c r="D106" s="85"/>
      <c r="E106" s="86"/>
      <c r="F106" s="87"/>
      <c r="G106" s="6">
        <f t="shared" si="15"/>
      </c>
      <c r="H106" s="6">
        <f t="shared" si="16"/>
      </c>
    </row>
    <row r="107" spans="2:8" ht="12.75">
      <c r="B107" s="5">
        <f t="shared" si="17"/>
        <v>96</v>
      </c>
      <c r="C107" s="84"/>
      <c r="D107" s="85"/>
      <c r="E107" s="86"/>
      <c r="F107" s="87"/>
      <c r="G107" s="6">
        <f t="shared" si="15"/>
      </c>
      <c r="H107" s="6">
        <f t="shared" si="16"/>
      </c>
    </row>
    <row r="108" spans="2:8" ht="12.75">
      <c r="B108" s="5">
        <f t="shared" si="17"/>
        <v>97</v>
      </c>
      <c r="C108" s="84"/>
      <c r="D108" s="85"/>
      <c r="E108" s="86"/>
      <c r="F108" s="87"/>
      <c r="G108" s="6">
        <f>IF(D108&lt;&gt;0,+E108/100*D108/6.25,"")</f>
      </c>
      <c r="H108" s="6">
        <f>IF(E108&lt;&gt;0,+F108/100*D108,"")</f>
      </c>
    </row>
    <row r="109" spans="2:8" ht="12.75">
      <c r="B109" s="5">
        <f t="shared" si="17"/>
        <v>98</v>
      </c>
      <c r="C109" s="84"/>
      <c r="D109" s="85"/>
      <c r="E109" s="86"/>
      <c r="F109" s="87"/>
      <c r="G109" s="6">
        <f>IF(D109&lt;&gt;0,+E109/100*D109/6.25,"")</f>
      </c>
      <c r="H109" s="6">
        <f>IF(E109&lt;&gt;0,+F109/100*D109,"")</f>
      </c>
    </row>
    <row r="110" spans="2:8" ht="12.75">
      <c r="B110" s="5">
        <f>+B109+1</f>
        <v>99</v>
      </c>
      <c r="C110" s="84"/>
      <c r="D110" s="85"/>
      <c r="E110" s="86"/>
      <c r="F110" s="87"/>
      <c r="G110" s="6">
        <f>IF(D110&lt;&gt;0,+E110/100*D110/6.25,"")</f>
      </c>
      <c r="H110" s="6">
        <f>IF(E110&lt;&gt;0,+F110/100*D110,"")</f>
      </c>
    </row>
    <row r="111" spans="2:8" ht="12.75">
      <c r="B111" s="5">
        <f>+B110+1</f>
        <v>100</v>
      </c>
      <c r="C111" s="84"/>
      <c r="D111" s="85"/>
      <c r="E111" s="86"/>
      <c r="F111" s="87"/>
      <c r="G111" s="6">
        <f>IF(D111&lt;&gt;0,+E111/100*D111/6.25,"")</f>
      </c>
      <c r="H111" s="6">
        <f>IF(E111&lt;&gt;0,+F111/100*D111,"")</f>
      </c>
    </row>
  </sheetData>
  <sheetProtection password="DC87" sheet="1" objects="1" scenarios="1"/>
  <printOptions/>
  <pageMargins left="0.3937007874015748" right="0.3937007874015748" top="0.984251968503937" bottom="0.984251968503937" header="0.5118110236220472" footer="0.5118110236220472"/>
  <pageSetup horizontalDpi="300" verticalDpi="300" orientation="portrait" r:id="rId1"/>
  <headerFooter alignWithMargins="0">
    <oddHeader>&amp;L&amp;"Arial,Gras"Estimation des rejets d'azote et de phosphore&amp;RCorpen
</oddHeader>
    <oddFooter>&amp;R&amp;F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AC366"/>
  <sheetViews>
    <sheetView showGridLines="0" showRowColHeaders="0" showZeros="0" tabSelected="1" showOutlineSymbols="0" zoomScale="80" zoomScaleNormal="80" workbookViewId="0" topLeftCell="A1">
      <selection activeCell="C2" sqref="C2"/>
    </sheetView>
  </sheetViews>
  <sheetFormatPr defaultColWidth="11.421875" defaultRowHeight="12.75"/>
  <cols>
    <col min="1" max="1" width="6.28125" style="62" customWidth="1"/>
    <col min="2" max="2" width="28.7109375" style="62" customWidth="1"/>
    <col min="3" max="3" width="12.28125" style="62" customWidth="1"/>
    <col min="4" max="4" width="11.28125" style="62" customWidth="1"/>
    <col min="5" max="5" width="11.8515625" style="62" customWidth="1"/>
    <col min="6" max="6" width="11.7109375" style="62" customWidth="1"/>
    <col min="7" max="7" width="11.140625" style="62" customWidth="1"/>
    <col min="8" max="8" width="24.7109375" style="0" hidden="1" customWidth="1"/>
    <col min="9" max="9" width="0" style="0" hidden="1" customWidth="1"/>
    <col min="10" max="10" width="10.57421875" style="0" hidden="1" customWidth="1"/>
    <col min="11" max="11" width="9.7109375" style="0" hidden="1" customWidth="1"/>
    <col min="12" max="13" width="10.7109375" style="0" hidden="1" customWidth="1"/>
    <col min="14" max="14" width="9.7109375" style="0" hidden="1" customWidth="1"/>
    <col min="15" max="15" width="10.140625" style="0" hidden="1" customWidth="1"/>
    <col min="16" max="16" width="9.7109375" style="0" hidden="1" customWidth="1"/>
    <col min="17" max="17" width="10.28125" style="0" hidden="1" customWidth="1"/>
    <col min="18" max="20" width="9.7109375" style="0" hidden="1" customWidth="1"/>
    <col min="21" max="21" width="12.28125" style="0" hidden="1" customWidth="1"/>
    <col min="22" max="36" width="9.7109375" style="0" hidden="1" customWidth="1"/>
    <col min="37" max="16384" width="9.7109375" style="0" customWidth="1"/>
  </cols>
  <sheetData>
    <row r="1" spans="13:26" ht="12.75">
      <c r="M1" s="245" t="s">
        <v>268</v>
      </c>
      <c r="N1" s="245" t="s">
        <v>163</v>
      </c>
      <c r="O1" s="245" t="s">
        <v>22</v>
      </c>
      <c r="Q1" s="245" t="s">
        <v>268</v>
      </c>
      <c r="R1" s="245" t="s">
        <v>163</v>
      </c>
      <c r="S1" s="245" t="s">
        <v>22</v>
      </c>
      <c r="U1" s="245" t="s">
        <v>268</v>
      </c>
      <c r="V1" s="245" t="s">
        <v>163</v>
      </c>
      <c r="W1" s="245" t="s">
        <v>22</v>
      </c>
      <c r="Z1" s="245" t="s">
        <v>163</v>
      </c>
    </row>
    <row r="2" spans="2:19" ht="12.75">
      <c r="B2" s="63" t="s">
        <v>134</v>
      </c>
      <c r="C2" s="166"/>
      <c r="D2" s="167"/>
      <c r="E2" s="193" t="s">
        <v>125</v>
      </c>
      <c r="F2" s="167"/>
      <c r="G2" s="168"/>
      <c r="H2" s="33"/>
      <c r="I2" s="33"/>
      <c r="K2" t="s">
        <v>136</v>
      </c>
      <c r="M2" s="245">
        <v>2</v>
      </c>
      <c r="N2" s="245">
        <v>0.068</v>
      </c>
      <c r="O2" s="245">
        <v>133</v>
      </c>
      <c r="P2" t="s">
        <v>140</v>
      </c>
      <c r="Q2" s="245">
        <v>5</v>
      </c>
      <c r="R2" s="245">
        <v>0.103</v>
      </c>
      <c r="S2" s="245">
        <v>58</v>
      </c>
    </row>
    <row r="3" spans="2:19" ht="12.75">
      <c r="B3" s="64"/>
      <c r="C3" s="162"/>
      <c r="D3" s="169"/>
      <c r="E3" s="194" t="s">
        <v>129</v>
      </c>
      <c r="F3" s="170"/>
      <c r="G3" s="171"/>
      <c r="H3" s="33"/>
      <c r="I3" s="33"/>
      <c r="K3" t="s">
        <v>137</v>
      </c>
      <c r="M3" s="245">
        <v>2</v>
      </c>
      <c r="N3" s="245">
        <v>0.076</v>
      </c>
      <c r="O3" s="245">
        <v>154</v>
      </c>
      <c r="P3" t="s">
        <v>141</v>
      </c>
      <c r="Q3" s="245">
        <v>6.5</v>
      </c>
      <c r="R3" s="245">
        <v>0.15</v>
      </c>
      <c r="S3" s="245">
        <v>41</v>
      </c>
    </row>
    <row r="4" spans="2:19" ht="12.75">
      <c r="B4" s="64" t="s">
        <v>133</v>
      </c>
      <c r="C4" s="169"/>
      <c r="D4" s="170"/>
      <c r="E4" s="194" t="s">
        <v>128</v>
      </c>
      <c r="F4" s="170"/>
      <c r="G4" s="171"/>
      <c r="H4" s="33"/>
      <c r="I4" s="33"/>
      <c r="K4" t="s">
        <v>284</v>
      </c>
      <c r="M4" s="245">
        <v>1.77</v>
      </c>
      <c r="N4" s="245">
        <v>0.22</v>
      </c>
      <c r="O4" s="245">
        <v>196</v>
      </c>
      <c r="P4" t="s">
        <v>142</v>
      </c>
      <c r="Q4" s="245">
        <v>6.5</v>
      </c>
      <c r="R4" s="245">
        <v>0.125</v>
      </c>
      <c r="S4" s="245">
        <v>40</v>
      </c>
    </row>
    <row r="5" spans="2:19" ht="12.75">
      <c r="B5" s="203"/>
      <c r="C5" s="200"/>
      <c r="D5" s="201"/>
      <c r="E5" s="202" t="s">
        <v>126</v>
      </c>
      <c r="F5" s="201"/>
      <c r="G5" s="171"/>
      <c r="H5" s="33"/>
      <c r="I5" s="33"/>
      <c r="K5" t="s">
        <v>145</v>
      </c>
      <c r="M5" s="245">
        <v>0.33</v>
      </c>
      <c r="N5" s="245">
        <v>2.6</v>
      </c>
      <c r="O5" s="245">
        <v>1095</v>
      </c>
      <c r="P5" t="s">
        <v>143</v>
      </c>
      <c r="Q5" s="245">
        <v>3.7</v>
      </c>
      <c r="R5" s="245">
        <v>0.25</v>
      </c>
      <c r="S5" s="245">
        <v>80</v>
      </c>
    </row>
    <row r="6" spans="2:19" ht="12.75">
      <c r="B6" s="204"/>
      <c r="C6" s="205"/>
      <c r="D6" s="205"/>
      <c r="E6" s="205"/>
      <c r="F6" s="205"/>
      <c r="G6" s="206"/>
      <c r="H6" s="33"/>
      <c r="I6" s="33"/>
      <c r="K6" t="s">
        <v>146</v>
      </c>
      <c r="M6" s="245">
        <v>0.4</v>
      </c>
      <c r="N6" s="245">
        <v>0.85</v>
      </c>
      <c r="O6" s="245">
        <v>913</v>
      </c>
      <c r="P6" t="s">
        <v>144</v>
      </c>
      <c r="Q6" s="245">
        <v>2.8</v>
      </c>
      <c r="R6" s="245">
        <v>0.37</v>
      </c>
      <c r="S6" s="245">
        <v>126</v>
      </c>
    </row>
    <row r="7" spans="2:19" ht="12.75">
      <c r="B7" s="66" t="s">
        <v>16</v>
      </c>
      <c r="C7" s="65"/>
      <c r="D7" s="65"/>
      <c r="E7" s="65"/>
      <c r="F7" s="65"/>
      <c r="P7" t="s">
        <v>149</v>
      </c>
      <c r="Q7" s="245">
        <v>0.85</v>
      </c>
      <c r="R7" s="245">
        <v>2.2</v>
      </c>
      <c r="S7" s="245">
        <v>427</v>
      </c>
    </row>
    <row r="8" spans="2:27" ht="12.75">
      <c r="B8" s="65"/>
      <c r="C8" s="67" t="s">
        <v>17</v>
      </c>
      <c r="D8" s="67" t="s">
        <v>18</v>
      </c>
      <c r="E8" s="67" t="s">
        <v>19</v>
      </c>
      <c r="F8" s="68"/>
      <c r="G8" s="68"/>
      <c r="H8" s="41"/>
      <c r="K8" t="s">
        <v>138</v>
      </c>
      <c r="M8" s="245">
        <v>1</v>
      </c>
      <c r="N8" s="245">
        <v>0.05</v>
      </c>
      <c r="O8" s="245">
        <v>365</v>
      </c>
      <c r="P8" t="s">
        <v>150</v>
      </c>
      <c r="Q8" s="245">
        <v>0.85</v>
      </c>
      <c r="R8" s="245">
        <v>0.56</v>
      </c>
      <c r="S8" s="245">
        <v>427</v>
      </c>
      <c r="W8" s="393" t="s">
        <v>271</v>
      </c>
      <c r="Y8" s="245">
        <v>4</v>
      </c>
      <c r="Z8" s="245">
        <v>0.25</v>
      </c>
      <c r="AA8" s="245">
        <v>84</v>
      </c>
    </row>
    <row r="9" spans="2:27" ht="12.75">
      <c r="B9" s="69" t="s">
        <v>20</v>
      </c>
      <c r="C9" s="172">
        <v>1</v>
      </c>
      <c r="D9" s="172">
        <v>1</v>
      </c>
      <c r="E9" s="173">
        <v>2003</v>
      </c>
      <c r="F9" s="68"/>
      <c r="G9" s="68"/>
      <c r="H9" s="81">
        <f>IF(E9&gt;1900,E9-1900,E9)</f>
        <v>103</v>
      </c>
      <c r="I9" s="82">
        <f>DATE(H9,D9,C9)</f>
        <v>37622</v>
      </c>
      <c r="K9" t="s">
        <v>139</v>
      </c>
      <c r="M9" s="245">
        <v>1</v>
      </c>
      <c r="N9" s="245">
        <v>0.19</v>
      </c>
      <c r="O9" s="245">
        <v>300</v>
      </c>
      <c r="P9" s="161">
        <f>N18+N19</f>
        <v>0</v>
      </c>
      <c r="Q9" s="161"/>
      <c r="R9" s="161"/>
      <c r="S9" s="161"/>
      <c r="W9" s="161" t="s">
        <v>190</v>
      </c>
      <c r="X9" s="161"/>
      <c r="Y9" s="392">
        <v>6.2</v>
      </c>
      <c r="Z9" s="245">
        <v>0.11</v>
      </c>
      <c r="AA9" s="245">
        <v>49</v>
      </c>
    </row>
    <row r="10" spans="2:27" ht="12.75">
      <c r="B10" s="69" t="s">
        <v>21</v>
      </c>
      <c r="C10" s="172">
        <v>31</v>
      </c>
      <c r="D10" s="172">
        <v>12</v>
      </c>
      <c r="E10" s="173">
        <v>2003</v>
      </c>
      <c r="F10" s="68"/>
      <c r="G10" s="68"/>
      <c r="H10" s="81">
        <f>IF(E10&gt;1900,E10-1900,E10)</f>
        <v>103</v>
      </c>
      <c r="I10" s="82">
        <f>DATE(H10,D10,C10)</f>
        <v>37986</v>
      </c>
      <c r="K10" t="s">
        <v>285</v>
      </c>
      <c r="M10" s="245">
        <v>1.77</v>
      </c>
      <c r="N10" s="246">
        <v>0.45</v>
      </c>
      <c r="O10" s="310">
        <v>195</v>
      </c>
      <c r="P10" t="s">
        <v>151</v>
      </c>
      <c r="Q10" s="245">
        <v>5</v>
      </c>
      <c r="R10" s="245">
        <v>0.0115</v>
      </c>
      <c r="S10" s="245">
        <v>42</v>
      </c>
      <c r="W10" t="s">
        <v>191</v>
      </c>
      <c r="Y10" s="245">
        <v>3.7</v>
      </c>
      <c r="Z10" s="245">
        <v>0.19</v>
      </c>
      <c r="AA10" s="245">
        <v>84</v>
      </c>
    </row>
    <row r="11" spans="2:25" ht="12.75">
      <c r="B11" s="69" t="s">
        <v>22</v>
      </c>
      <c r="C11" s="70">
        <f>I10-I9+1</f>
        <v>365</v>
      </c>
      <c r="D11" s="71"/>
      <c r="E11" s="71"/>
      <c r="F11" s="65"/>
      <c r="H11" s="83"/>
      <c r="I11" s="83"/>
      <c r="K11" t="s">
        <v>147</v>
      </c>
      <c r="M11" s="245">
        <v>1</v>
      </c>
      <c r="N11" s="245">
        <v>5.7</v>
      </c>
      <c r="O11" s="245">
        <v>365</v>
      </c>
      <c r="P11" t="s">
        <v>152</v>
      </c>
      <c r="Q11" s="245">
        <v>2</v>
      </c>
      <c r="R11" s="246">
        <v>0.04</v>
      </c>
      <c r="S11" s="245">
        <v>126</v>
      </c>
      <c r="Y11" s="245"/>
    </row>
    <row r="12" spans="2:19" ht="12.75">
      <c r="B12" s="65"/>
      <c r="C12" s="72"/>
      <c r="D12" s="72"/>
      <c r="E12" s="65"/>
      <c r="F12" s="65"/>
      <c r="H12" s="83"/>
      <c r="I12" s="83"/>
      <c r="K12" t="s">
        <v>148</v>
      </c>
      <c r="M12" s="245">
        <v>1</v>
      </c>
      <c r="N12" s="245">
        <v>1.9</v>
      </c>
      <c r="O12" s="245">
        <v>365</v>
      </c>
      <c r="P12" t="s">
        <v>153</v>
      </c>
      <c r="Q12" s="245">
        <v>3</v>
      </c>
      <c r="R12" s="245">
        <v>0.04</v>
      </c>
      <c r="S12" s="245">
        <v>84</v>
      </c>
    </row>
    <row r="13" spans="2:20" ht="18">
      <c r="B13" s="435" t="s">
        <v>24</v>
      </c>
      <c r="C13" s="140" t="s">
        <v>162</v>
      </c>
      <c r="D13" s="198" t="s">
        <v>268</v>
      </c>
      <c r="E13" s="141" t="s">
        <v>161</v>
      </c>
      <c r="F13" s="198" t="s">
        <v>22</v>
      </c>
      <c r="G13" s="400" t="s">
        <v>180</v>
      </c>
      <c r="H13" s="34" t="s">
        <v>23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2:24" ht="12.75">
      <c r="B14" s="148"/>
      <c r="C14" s="143" t="s">
        <v>25</v>
      </c>
      <c r="D14" s="391" t="s">
        <v>267</v>
      </c>
      <c r="E14" s="242" t="s">
        <v>127</v>
      </c>
      <c r="F14" s="396" t="s">
        <v>269</v>
      </c>
      <c r="G14" s="147" t="s">
        <v>272</v>
      </c>
      <c r="H14" s="35"/>
      <c r="I14" s="35" t="s">
        <v>164</v>
      </c>
      <c r="J14" s="264"/>
      <c r="K14" s="265" t="s">
        <v>27</v>
      </c>
      <c r="L14" s="266"/>
      <c r="M14" s="465" t="s">
        <v>189</v>
      </c>
      <c r="N14" s="466"/>
      <c r="O14" s="467"/>
      <c r="P14" s="465" t="s">
        <v>192</v>
      </c>
      <c r="Q14" s="466"/>
      <c r="R14" s="467"/>
      <c r="S14" s="465" t="s">
        <v>193</v>
      </c>
      <c r="T14" s="466"/>
      <c r="U14" s="467"/>
      <c r="V14" s="465" t="s">
        <v>194</v>
      </c>
      <c r="W14" s="466"/>
      <c r="X14" s="467"/>
    </row>
    <row r="15" spans="2:24" ht="12.75">
      <c r="B15" s="438" t="s">
        <v>282</v>
      </c>
      <c r="C15" s="439" t="s">
        <v>156</v>
      </c>
      <c r="D15" s="389"/>
      <c r="E15" s="244" t="s">
        <v>163</v>
      </c>
      <c r="F15" s="440" t="s">
        <v>270</v>
      </c>
      <c r="G15" s="74" t="s">
        <v>273</v>
      </c>
      <c r="H15" s="35"/>
      <c r="I15" s="30" t="s">
        <v>165</v>
      </c>
      <c r="J15" s="284" t="s">
        <v>179</v>
      </c>
      <c r="K15" s="284" t="s">
        <v>180</v>
      </c>
      <c r="L15" s="284" t="s">
        <v>167</v>
      </c>
      <c r="M15" s="284" t="s">
        <v>179</v>
      </c>
      <c r="N15" s="284" t="s">
        <v>180</v>
      </c>
      <c r="O15" s="284" t="s">
        <v>167</v>
      </c>
      <c r="P15" s="284" t="s">
        <v>179</v>
      </c>
      <c r="Q15" s="284" t="s">
        <v>180</v>
      </c>
      <c r="R15" s="292" t="s">
        <v>167</v>
      </c>
      <c r="S15" s="284" t="s">
        <v>179</v>
      </c>
      <c r="T15" s="284" t="s">
        <v>180</v>
      </c>
      <c r="U15" s="284" t="s">
        <v>167</v>
      </c>
      <c r="V15" s="284" t="s">
        <v>179</v>
      </c>
      <c r="W15" s="284" t="s">
        <v>180</v>
      </c>
      <c r="X15" s="292" t="s">
        <v>167</v>
      </c>
    </row>
    <row r="16" spans="2:28" ht="12.75">
      <c r="B16" s="76" t="s">
        <v>136</v>
      </c>
      <c r="C16" s="429"/>
      <c r="D16" s="437">
        <f aca="true" t="shared" si="0" ref="D16:F17">IF($B16=$K$2,M$2,IF($B16=$K$3,M$3,IF($B16=$K$4,M$4,IF($B16=$K$5,M$5,M$6))))</f>
        <v>2</v>
      </c>
      <c r="E16" s="433">
        <f t="shared" si="0"/>
        <v>0.068</v>
      </c>
      <c r="F16" s="397">
        <f t="shared" si="0"/>
        <v>133</v>
      </c>
      <c r="G16" s="404">
        <v>1</v>
      </c>
      <c r="H16" s="214" t="s">
        <v>166</v>
      </c>
      <c r="I16" s="249">
        <f aca="true" t="shared" si="1" ref="I16:I24">E16*F16*D16*C16/D16*G16/1000</f>
        <v>0</v>
      </c>
      <c r="J16" s="286"/>
      <c r="K16" s="287">
        <f>C30</f>
        <v>0</v>
      </c>
      <c r="L16" s="290"/>
      <c r="M16" s="294"/>
      <c r="N16" s="303">
        <f>IF($C16=0,0,IF($B16=$K2,0.074,IF($B16=$K3,0.096,IF($B16=K4,0.509,IF(B$16=K5,52.2,13.26)))))</f>
        <v>0</v>
      </c>
      <c r="O16" s="295"/>
      <c r="P16" s="294"/>
      <c r="Q16" s="303">
        <f>IF($C16=0,0,IF($B16=$K2,0.0297,IF($B16=$K3,0.0436,IF($B16=$K4=0.2453,IF($B16=$K5,15.15,3.91)))))</f>
        <v>0</v>
      </c>
      <c r="R16" s="295"/>
      <c r="S16" s="294"/>
      <c r="T16" s="303">
        <f>IF($C16=0,0,IF($B16=$K2,0.068,IF($B16=$K3,0.096,IF($B16=$K4,0.509,IF(B$16=K5,52.2,13.26)))))</f>
        <v>0</v>
      </c>
      <c r="U16" s="295"/>
      <c r="V16" s="294"/>
      <c r="W16" s="303">
        <f>IF($C16=0,0,IF($B16=$K2,0.02334,IF($B16=$K3,0.034,IF(B16=K4,0.195,IF(B16=K5,12.5,3.17)))))</f>
        <v>0</v>
      </c>
      <c r="X16" s="295"/>
      <c r="Y16" s="32"/>
      <c r="Z16" s="32"/>
      <c r="AA16" s="32"/>
      <c r="AB16" s="32"/>
    </row>
    <row r="17" spans="2:28" ht="12.75">
      <c r="B17" s="76" t="s">
        <v>137</v>
      </c>
      <c r="C17" s="314"/>
      <c r="D17" s="437">
        <f t="shared" si="0"/>
        <v>2</v>
      </c>
      <c r="E17" s="433">
        <f t="shared" si="0"/>
        <v>0.076</v>
      </c>
      <c r="F17" s="397">
        <f t="shared" si="0"/>
        <v>154</v>
      </c>
      <c r="G17" s="404">
        <v>1</v>
      </c>
      <c r="H17" s="214" t="s">
        <v>166</v>
      </c>
      <c r="I17" s="249">
        <f t="shared" si="1"/>
        <v>0</v>
      </c>
      <c r="J17" s="286"/>
      <c r="K17" s="287">
        <f>C31</f>
        <v>0</v>
      </c>
      <c r="L17" s="290"/>
      <c r="M17" s="294"/>
      <c r="N17" s="303">
        <f>IF($C17=0,0,IF($B17=$K2,0.074,IF($B17=$K3,0.096,IF($B17=K4,0.509,IF(B$17=K5,52.2,13.26)))))</f>
        <v>0</v>
      </c>
      <c r="O17" s="295"/>
      <c r="P17" s="294"/>
      <c r="Q17" s="303">
        <f>IF($C17=0,0,IF($B17=$K2,0.0297,IF($B17=$K3,0.0436,IF($B17=$K4=0.2453,IF($B17=$K5,15.15,3.91)))))</f>
        <v>0</v>
      </c>
      <c r="R17" s="295"/>
      <c r="S17" s="294"/>
      <c r="T17" s="303">
        <f>IF($C17=0,0,IF($B17=$K2,0.068,IF($B17=$K3,0.096,IF($B17=$K4,0.509,IF(B$17=K5,52.2,13.26)))))</f>
        <v>0</v>
      </c>
      <c r="U17" s="295"/>
      <c r="V17" s="294"/>
      <c r="W17" s="303">
        <f>IF($C17=0,0,IF($B17=$K2,0.02334,IF($B17=$K3,0.034,IF(B17=K4,0.195,IF(B17=K5,12.5,3.17)))))</f>
        <v>0</v>
      </c>
      <c r="X17" s="295"/>
      <c r="Y17" s="32"/>
      <c r="Z17" s="32"/>
      <c r="AA17" s="32"/>
      <c r="AB17" s="32"/>
    </row>
    <row r="18" spans="2:28" ht="12.75">
      <c r="B18" s="436" t="s">
        <v>138</v>
      </c>
      <c r="C18" s="207"/>
      <c r="D18" s="437">
        <f>IF($B18=$K8,M8,IF($B18=$K9,M9,IF($B18=$K10,M10,IF($B18=$K11,M11,M12))))</f>
        <v>1</v>
      </c>
      <c r="E18" s="433">
        <f>IF($B18=$K8,N8,IF($B18=$K9,N9,IF($B18=$K10,N10,IF($B18=$K11,N11,N12))))</f>
        <v>0.05</v>
      </c>
      <c r="F18" s="397">
        <f>IF($B18=$K8,O8,IF($B18=$K9,O9,IF($B18=$K10,O10,IF($B18=$K11,O11,O12))))</f>
        <v>365</v>
      </c>
      <c r="G18" s="404">
        <v>1</v>
      </c>
      <c r="H18" s="215" t="s">
        <v>205</v>
      </c>
      <c r="I18" s="249">
        <f t="shared" si="1"/>
        <v>0</v>
      </c>
      <c r="J18" s="263">
        <f>C32</f>
        <v>0</v>
      </c>
      <c r="K18" s="285"/>
      <c r="L18" s="285">
        <f>K18*(C18+D18)/2/1000*C12</f>
        <v>0</v>
      </c>
      <c r="M18" s="293">
        <f>IF($C18=0,0,IF($B18=$K8,0.439,IF($B18=$K9,0.529,IF($B18=$K10,0.86,IF($B18=$K11,29.4,9.61)))))</f>
        <v>0</v>
      </c>
      <c r="N18" s="296"/>
      <c r="O18" s="297"/>
      <c r="P18" s="293">
        <f>IF($C18=0,0,IF($B18=$K8,0.159,IF($B18=$K9,0.242,IF($B18=$K10,0.4137,IF($B18=$K11,11.3,3.7)))))</f>
        <v>0</v>
      </c>
      <c r="Q18" s="296"/>
      <c r="R18" s="297"/>
      <c r="S18" s="293">
        <f>IF($C18=0,0,IF($B18=$K8,0.439,IF($B18=$K9,0.529,IF($B18=$K10,0.86,IF($B18=$K11,29.4,9.61)))))</f>
        <v>0</v>
      </c>
      <c r="T18" s="296"/>
      <c r="U18" s="297"/>
      <c r="V18" s="293">
        <f>IF($C18=0,0,IF($B18=$K8,0.135,IF($B18=$K9,0.207,IF($B18=$K10,0.352,IF($B18=$K11,9.6,3.15)))))</f>
        <v>0</v>
      </c>
      <c r="W18" s="296"/>
      <c r="X18" s="297"/>
      <c r="Y18" s="32"/>
      <c r="Z18" s="32"/>
      <c r="AA18" s="32"/>
      <c r="AB18" s="32"/>
    </row>
    <row r="19" spans="2:28" ht="12.75">
      <c r="B19" s="76" t="s">
        <v>141</v>
      </c>
      <c r="C19" s="314"/>
      <c r="D19" s="437">
        <f aca="true" t="shared" si="2" ref="D19:F22">IF($B19=$P$2,Q$2,IF($B19=$P$3,Q$3,IF($B19=$P$4,Q$4,IF($B19=$P$5,Q$5,IF($B19=$P$6,Q$6,IF($B19=$P$7,Q$7,Q$8))))))</f>
        <v>6.5</v>
      </c>
      <c r="E19" s="433">
        <f t="shared" si="2"/>
        <v>0.15</v>
      </c>
      <c r="F19" s="397">
        <f t="shared" si="2"/>
        <v>41</v>
      </c>
      <c r="G19" s="404">
        <v>2.8</v>
      </c>
      <c r="H19" s="160" t="s">
        <v>167</v>
      </c>
      <c r="I19" s="249">
        <f t="shared" si="1"/>
        <v>0</v>
      </c>
      <c r="J19" s="263"/>
      <c r="K19" s="285"/>
      <c r="L19" s="285">
        <f aca="true" t="shared" si="3" ref="L19:L24">C33</f>
        <v>0</v>
      </c>
      <c r="M19" s="291"/>
      <c r="N19" s="298"/>
      <c r="O19" s="304">
        <f>IF($C19=0,0,IF($B19=$P$2,0.0567,IF($B19=$P$3,0.0485,IF($B19=$P$4,0.0381,IF($B19=$P$5,0.156,IF($B19=$P$6,0.457,IF(B19=$P$7,17.6,4.41)))))))</f>
        <v>0</v>
      </c>
      <c r="P19" s="291"/>
      <c r="Q19" s="298"/>
      <c r="R19" s="304">
        <f>IF($C19=0,0,IF($B19=$P$2,0.0259,IF($B19=$P$3,0.0176,IF($B19=$P$4,0.0138,IF($B19=$P$5,0.0703,IF($B19=$P$6,0.2048,IF($B19=$P$7,5.14,1.33)))))))</f>
        <v>0</v>
      </c>
      <c r="S19" s="291"/>
      <c r="T19" s="298"/>
      <c r="U19" s="304">
        <f>IF($C19=0,0,IF($B19=$P$2,0.0567,IF($B19=$P$3,0.0485,IF($B19=$P$4,0.0381,IF($B19=$P$5,0.156,IF($B19=$P$6,0.457,IF(H19=$P$7,17.6,4.41)))))))</f>
        <v>0</v>
      </c>
      <c r="V19" s="291"/>
      <c r="W19" s="298"/>
      <c r="X19" s="304">
        <f>IF($C19=0,0,IF($B19=$P$2,0.021,IF($B19=$P$3,0.01235,IF($B19=$P$4,0.00912,IF($B19=$P$5,0.0549,IF(B19=$P$6,0.16716,IF(B19=P$7,4.16,1.06)))))))</f>
        <v>0</v>
      </c>
      <c r="Y19" s="32"/>
      <c r="Z19" s="32"/>
      <c r="AA19" s="32"/>
      <c r="AB19" s="32"/>
    </row>
    <row r="20" spans="2:28" ht="12.75">
      <c r="B20" s="76" t="s">
        <v>142</v>
      </c>
      <c r="C20" s="207"/>
      <c r="D20" s="437">
        <f t="shared" si="2"/>
        <v>6.5</v>
      </c>
      <c r="E20" s="433">
        <f t="shared" si="2"/>
        <v>0.125</v>
      </c>
      <c r="F20" s="397">
        <f t="shared" si="2"/>
        <v>40</v>
      </c>
      <c r="G20" s="404">
        <v>6.5</v>
      </c>
      <c r="H20" s="160" t="s">
        <v>167</v>
      </c>
      <c r="I20" s="249">
        <f t="shared" si="1"/>
        <v>0</v>
      </c>
      <c r="J20" s="263"/>
      <c r="K20" s="285"/>
      <c r="L20" s="285">
        <f t="shared" si="3"/>
        <v>0</v>
      </c>
      <c r="M20" s="291"/>
      <c r="N20" s="298"/>
      <c r="O20" s="304">
        <f>IF($C20=0,0,IF($B20=$P$2,0.0567,IF($B20=$P$3,0.0485,IF($B20=$P$4,0.0381,IF($B20=$P$5,0.156,IF($B20=$P$6,0.457,IF(B20=$P$7,17.6,4.41)))))))</f>
        <v>0</v>
      </c>
      <c r="P20" s="291"/>
      <c r="Q20" s="298"/>
      <c r="R20" s="304">
        <f>IF($C20=0,0,IF($B20=$P$2,0.0259,IF($B20=$P$3,0.0176,IF($B20=$P$4,0.0138,IF($B20=$P$5,0.0703,IF($B20=$P$6,0.2048,IF($B20=$P$7,5.14,1.33)))))))</f>
        <v>0</v>
      </c>
      <c r="S20" s="291"/>
      <c r="T20" s="298"/>
      <c r="U20" s="304">
        <f>IF($C20=0,0,IF($B20=$P$2,0.0567,IF($B20=$P$3,0.0485,IF($B20=$P$4,0.0381,IF($B20=$P$5,0.156,IF($B20=$P$6,0.457,IF(H20=$P$7,17.6,4.41)))))))</f>
        <v>0</v>
      </c>
      <c r="V20" s="291"/>
      <c r="W20" s="298"/>
      <c r="X20" s="304">
        <f>IF($C20=0,0,IF($B20=$P$2,0.021,IF($B20=$P$3,0.01235,IF($B20=$P$4,0.00912,IF($B20=$P$5,0.0549,IF(B20=$P$6,0.16716,IF(B20=P$7,4.16,1.06)))))))</f>
        <v>0</v>
      </c>
      <c r="Y20" s="32"/>
      <c r="Z20" s="32"/>
      <c r="AA20" s="32"/>
      <c r="AB20" s="32"/>
    </row>
    <row r="21" spans="2:28" ht="12.75">
      <c r="B21" s="76" t="s">
        <v>140</v>
      </c>
      <c r="C21" s="314"/>
      <c r="D21" s="437">
        <f t="shared" si="2"/>
        <v>5</v>
      </c>
      <c r="E21" s="433">
        <f t="shared" si="2"/>
        <v>0.103</v>
      </c>
      <c r="F21" s="397">
        <f t="shared" si="2"/>
        <v>58</v>
      </c>
      <c r="G21" s="404">
        <v>6.5</v>
      </c>
      <c r="H21" s="160" t="s">
        <v>167</v>
      </c>
      <c r="I21" s="249">
        <f t="shared" si="1"/>
        <v>0</v>
      </c>
      <c r="J21" s="263"/>
      <c r="K21" s="285"/>
      <c r="L21" s="285">
        <f t="shared" si="3"/>
        <v>0</v>
      </c>
      <c r="M21" s="291"/>
      <c r="N21" s="298"/>
      <c r="O21" s="304">
        <f>IF($C21=0,0,IF($B21=$P$2,0.0567,IF($B21=$P$3,0.0485,IF($B21=$P$4,0.0381,IF($B21=$P$5,0.156,IF($B21=$P$6,0.457,IF(B21=$P$7,17.6,4.41)))))))</f>
        <v>0</v>
      </c>
      <c r="P21" s="291"/>
      <c r="Q21" s="298"/>
      <c r="R21" s="304">
        <f>IF($C21=0,0,IF($B21=$P$2,0.0259,IF($B21=$P$3,0.0176,IF($B21=$P$4,0.0138,IF($B21=$P$5,0.0703,IF($B21=$P$6,0.2048,IF($B21=$P$7,5.14,1.33)))))))</f>
        <v>0</v>
      </c>
      <c r="S21" s="291"/>
      <c r="T21" s="298"/>
      <c r="U21" s="304">
        <f>IF($C21=0,0,IF($B21=$P$2,0.0567,IF($B21=$P$3,0.0485,IF($B21=$P$4,0.0381,IF($B21=$P$5,0.156,IF($B21=$P$6,0.457,IF(H21=$P$7,17.6,4.41)))))))</f>
        <v>0</v>
      </c>
      <c r="V21" s="291"/>
      <c r="W21" s="298"/>
      <c r="X21" s="304">
        <f>IF($C21=0,0,IF($B21=$P$2,0.021,IF($B21=$P$3,0.01235,IF($B21=$P$4,0.00912,IF($B21=$P$5,0.0549,IF(B21=$P$6,0.16716,IF(B21=P$7,4.16,1.06)))))))</f>
        <v>0</v>
      </c>
      <c r="Y21" s="32"/>
      <c r="Z21" s="32"/>
      <c r="AA21" s="32"/>
      <c r="AB21" s="32"/>
    </row>
    <row r="22" spans="2:28" ht="12.75">
      <c r="B22" s="76" t="s">
        <v>143</v>
      </c>
      <c r="C22" s="207"/>
      <c r="D22" s="437">
        <f t="shared" si="2"/>
        <v>3.7</v>
      </c>
      <c r="E22" s="433">
        <f t="shared" si="2"/>
        <v>0.25</v>
      </c>
      <c r="F22" s="397">
        <f t="shared" si="2"/>
        <v>80</v>
      </c>
      <c r="G22" s="404">
        <v>6.5</v>
      </c>
      <c r="H22" s="160" t="s">
        <v>167</v>
      </c>
      <c r="I22" s="249">
        <f t="shared" si="1"/>
        <v>0</v>
      </c>
      <c r="J22" s="263"/>
      <c r="K22" s="285"/>
      <c r="L22" s="285">
        <f t="shared" si="3"/>
        <v>0</v>
      </c>
      <c r="M22" s="291"/>
      <c r="N22" s="298"/>
      <c r="O22" s="304">
        <f>IF($C22=0,0,IF($B22=$P$2,0.0567,IF($B22=$P$3,0.0485,IF($B22=$P$4,0.0381,IF($B22=$P$5,0.156,IF($B22=$P$6,0.457,IF(B22=$P$7,17.6,4.41)))))))</f>
        <v>0</v>
      </c>
      <c r="P22" s="291"/>
      <c r="Q22" s="298"/>
      <c r="R22" s="304">
        <f>IF($C22=0,0,IF($B22=$P$2,0.0259,IF($B22=$P$3,0.0176,IF($B22=$P$4,0.0138,IF($B22=$P$5,0.0703,IF($B22=$P$6,0.2048,IF($B22=$P$7,5.14,1.33)))))))</f>
        <v>0</v>
      </c>
      <c r="S22" s="291"/>
      <c r="T22" s="298"/>
      <c r="U22" s="304">
        <f>IF($C22=0,0,IF($B22=$P$2,0.0567,IF($B22=$P$3,0.0485,IF($B22=$P$4,0.0381,IF($B22=$P$5,0.156,IF($B22=$P$6,0.457,IF(H22=$P$7,17.6,4.41)))))))</f>
        <v>0</v>
      </c>
      <c r="V22" s="291"/>
      <c r="W22" s="298"/>
      <c r="X22" s="304">
        <f>IF($C22=0,0,IF($B22=$P$2,0.021,IF($B22=$P$3,0.01235,IF($B22=$P$4,0.00912,IF($B22=$P$5,0.0549,IF(B22=$P$6,0.16716,IF(B22=P$7,4.16,1.06)))))))</f>
        <v>0</v>
      </c>
      <c r="Y22" s="32"/>
      <c r="Z22" s="32"/>
      <c r="AA22" s="32"/>
      <c r="AB22" s="32"/>
    </row>
    <row r="23" spans="2:28" ht="12.75">
      <c r="B23" s="76" t="s">
        <v>191</v>
      </c>
      <c r="C23" s="431"/>
      <c r="D23" s="437">
        <f>IF($B23=$W8,Y8,IF($B23=$W9,Y9,Y10))</f>
        <v>3.7</v>
      </c>
      <c r="E23" s="433">
        <f>IF($B23=$W8,Z8,IF($B23=$W9,Z9,Z10))</f>
        <v>0.19</v>
      </c>
      <c r="F23" s="397">
        <f>IF($B23=$W8,AA8,IF($B23=$W9,AA9,AA10))</f>
        <v>84</v>
      </c>
      <c r="G23" s="402">
        <v>4.53</v>
      </c>
      <c r="H23" s="398" t="s">
        <v>158</v>
      </c>
      <c r="I23" s="249">
        <f t="shared" si="1"/>
        <v>0</v>
      </c>
      <c r="J23" s="263"/>
      <c r="K23" s="285"/>
      <c r="L23" s="285">
        <f t="shared" si="3"/>
        <v>0</v>
      </c>
      <c r="M23" s="299"/>
      <c r="N23" s="300"/>
      <c r="O23" s="305">
        <f>IF($C23=0,0,IF($B23=$W8,0.385,IF($B23=$W9,0.116,0.294)))</f>
        <v>0</v>
      </c>
      <c r="P23" s="299"/>
      <c r="Q23" s="300"/>
      <c r="R23" s="305">
        <f>IF($C23=0,0,IF($B23=$W8,0.122,IF(B23=W9,0.035,0.101)))</f>
        <v>0</v>
      </c>
      <c r="S23" s="299"/>
      <c r="T23" s="300"/>
      <c r="U23" s="305">
        <f>IF($C23=0,0,IF($B23=$W8,0.385,IF(B23=W9,0.116,0.294)))</f>
        <v>0</v>
      </c>
      <c r="V23" s="299"/>
      <c r="W23" s="300"/>
      <c r="X23" s="305">
        <f>IF($C23=0,0,IF($B23=$W8,0.1,IF(B23=W9,0.028,0.081)))</f>
        <v>0</v>
      </c>
      <c r="Y23" s="32"/>
      <c r="Z23" s="32"/>
      <c r="AA23" s="32"/>
      <c r="AB23" s="32"/>
    </row>
    <row r="24" spans="2:28" ht="12.75">
      <c r="B24" s="76" t="s">
        <v>153</v>
      </c>
      <c r="C24" s="341"/>
      <c r="D24" s="394">
        <f>IF($B24=$P10,Q10,IF($B24=$P11,Q11,Q12))</f>
        <v>3</v>
      </c>
      <c r="E24" s="247">
        <f>IF($B24=$P10,R10,IF($B24=$P11,R11,R12))</f>
        <v>0.04</v>
      </c>
      <c r="F24" s="397">
        <f>IF($B24=$P10,S10,IF($B24=$P11,S11,S12))</f>
        <v>84</v>
      </c>
      <c r="G24" s="403">
        <v>3</v>
      </c>
      <c r="H24" s="398" t="s">
        <v>159</v>
      </c>
      <c r="I24" s="249">
        <f t="shared" si="1"/>
        <v>0</v>
      </c>
      <c r="J24" s="263"/>
      <c r="K24" s="285"/>
      <c r="L24" s="285">
        <f t="shared" si="3"/>
        <v>0</v>
      </c>
      <c r="M24" s="299"/>
      <c r="N24" s="300"/>
      <c r="O24" s="305">
        <f>IF($C24=0,0,IF($B24=$P10,0.0139,IF($B24=$P11,0.112,0.06)))</f>
        <v>0</v>
      </c>
      <c r="P24" s="299"/>
      <c r="Q24" s="300"/>
      <c r="R24" s="305">
        <f>IF($C24=0,0,IF($B24=$P10,0.00463,IF($B24=$P11,0.04,0.027)))</f>
        <v>0</v>
      </c>
      <c r="S24" s="299"/>
      <c r="T24" s="300"/>
      <c r="U24" s="305">
        <f>IF($C24=0,0,IF($B24=$P10,0.0139,IF($B24=$P11,0.112,0.06)))</f>
        <v>0</v>
      </c>
      <c r="V24" s="299"/>
      <c r="W24" s="300"/>
      <c r="X24" s="305">
        <f>IF($C24=0,0,IF($B24=$P10,0.0037,IF($B24=$P11,0.032,0.022)))</f>
        <v>0</v>
      </c>
      <c r="Y24" s="32"/>
      <c r="Z24" s="32"/>
      <c r="AA24" s="32"/>
      <c r="AB24" s="32"/>
    </row>
    <row r="25" spans="2:28" ht="12.75">
      <c r="B25" s="77" t="s">
        <v>154</v>
      </c>
      <c r="C25" s="434"/>
      <c r="D25" s="395">
        <v>1</v>
      </c>
      <c r="E25" s="248">
        <v>0.03</v>
      </c>
      <c r="F25" s="390">
        <v>323</v>
      </c>
      <c r="G25" s="401"/>
      <c r="H25" s="399" t="s">
        <v>154</v>
      </c>
      <c r="I25" s="249">
        <f>E25*F25*D25*C25/1000</f>
        <v>0</v>
      </c>
      <c r="J25" s="288">
        <f>C25</f>
        <v>0</v>
      </c>
      <c r="K25" s="289"/>
      <c r="L25" s="289"/>
      <c r="M25" s="302">
        <f>IF($C25&gt;0,0.151,0)</f>
        <v>0</v>
      </c>
      <c r="N25" s="301"/>
      <c r="O25" s="306"/>
      <c r="P25" s="302">
        <f>IF($C25&gt;0,0.0606,0)</f>
        <v>0</v>
      </c>
      <c r="Q25" s="301"/>
      <c r="R25" s="306"/>
      <c r="S25" s="302">
        <f>IF($C25&gt;0,0.151,0)</f>
        <v>0</v>
      </c>
      <c r="T25" s="301"/>
      <c r="U25" s="306"/>
      <c r="V25" s="302">
        <f>IF($C25&gt;0,0.05,0)</f>
        <v>0</v>
      </c>
      <c r="W25" s="301"/>
      <c r="X25" s="306"/>
      <c r="Y25" s="32"/>
      <c r="Z25" s="32"/>
      <c r="AA25" s="32"/>
      <c r="AB25" s="32"/>
    </row>
    <row r="26" spans="2:28" ht="12.75">
      <c r="B26" s="65"/>
      <c r="C26" s="65"/>
      <c r="D26" s="65"/>
      <c r="E26" s="65"/>
      <c r="F26" s="65"/>
      <c r="G26" s="145"/>
      <c r="H26" s="216" t="s">
        <v>26</v>
      </c>
      <c r="I26" s="250">
        <f>SUM(I16:I25)</f>
        <v>0</v>
      </c>
      <c r="J26" s="250">
        <f>SUM(J16:J25)</f>
        <v>0</v>
      </c>
      <c r="K26" s="250">
        <f>SUM(K16:K25)</f>
        <v>0</v>
      </c>
      <c r="L26" s="250">
        <f>SUM(L16:L25)</f>
        <v>0</v>
      </c>
      <c r="M26" s="307">
        <f>SUM(M17:M25)</f>
        <v>0</v>
      </c>
      <c r="N26" s="307">
        <f>SUM(N16:N25)</f>
        <v>0</v>
      </c>
      <c r="O26" s="307">
        <f>SUM(O16:O25)</f>
        <v>0</v>
      </c>
      <c r="P26" s="307">
        <f>SUM(P16:P25)</f>
        <v>0</v>
      </c>
      <c r="Q26" s="307">
        <f>SUM(Q16:Q25)</f>
        <v>0</v>
      </c>
      <c r="R26" s="307">
        <f>SUM(R16:R25)</f>
        <v>0</v>
      </c>
      <c r="S26" s="307">
        <f>SUM(S17:S25)</f>
        <v>0</v>
      </c>
      <c r="T26" s="307">
        <f>SUM(T16:T25)</f>
        <v>0</v>
      </c>
      <c r="U26" s="307">
        <f>SUM(U16:U25)</f>
        <v>0</v>
      </c>
      <c r="V26" s="307">
        <f>SUM(V16:V25)</f>
        <v>0</v>
      </c>
      <c r="W26" s="307">
        <f>SUM(W16:W25)</f>
        <v>0</v>
      </c>
      <c r="X26" s="307">
        <f>SUM(X16:X25)</f>
        <v>0</v>
      </c>
      <c r="Y26" s="32"/>
      <c r="Z26" s="32"/>
      <c r="AA26" s="32"/>
      <c r="AB26" s="32"/>
    </row>
    <row r="27" spans="2:28" ht="12.75">
      <c r="B27" s="65"/>
      <c r="C27" s="65"/>
      <c r="D27" s="65"/>
      <c r="E27" s="65"/>
      <c r="F27" s="65"/>
      <c r="G27" s="145"/>
      <c r="H27" s="35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5"/>
      <c r="U27" s="32"/>
      <c r="V27" s="32"/>
      <c r="W27" s="32"/>
      <c r="X27" s="32"/>
      <c r="Y27" s="32"/>
      <c r="Z27" s="32"/>
      <c r="AA27" s="32"/>
      <c r="AB27" s="32"/>
    </row>
    <row r="28" spans="2:26" ht="12.75">
      <c r="B28" s="66" t="s">
        <v>155</v>
      </c>
      <c r="C28" s="73" t="s">
        <v>27</v>
      </c>
      <c r="D28" s="73" t="s">
        <v>106</v>
      </c>
      <c r="E28" s="198" t="s">
        <v>131</v>
      </c>
      <c r="F28" s="327" t="s">
        <v>106</v>
      </c>
      <c r="G28" s="213"/>
      <c r="H28" s="35"/>
      <c r="I28" s="35"/>
      <c r="J28" s="35"/>
      <c r="K28" s="35"/>
      <c r="L28" s="29"/>
      <c r="M28" s="29"/>
      <c r="N28" s="29"/>
      <c r="O28" s="257"/>
      <c r="P28" s="258" t="s">
        <v>178</v>
      </c>
      <c r="Q28" s="259"/>
      <c r="R28" s="29"/>
      <c r="S28" s="29"/>
      <c r="T28" s="29"/>
      <c r="U28" s="190"/>
      <c r="V28" s="32"/>
      <c r="W28" s="32"/>
      <c r="X28" s="32"/>
      <c r="Y28" s="32"/>
      <c r="Z28" s="32"/>
    </row>
    <row r="29" spans="2:29" ht="12.75">
      <c r="B29" s="65"/>
      <c r="C29" s="74"/>
      <c r="D29" s="74" t="s">
        <v>29</v>
      </c>
      <c r="E29" s="199" t="s">
        <v>132</v>
      </c>
      <c r="F29" s="328" t="s">
        <v>29</v>
      </c>
      <c r="G29" s="213"/>
      <c r="H29" s="35"/>
      <c r="I29" s="22" t="s">
        <v>30</v>
      </c>
      <c r="J29" s="22" t="s">
        <v>31</v>
      </c>
      <c r="K29" s="238" t="s">
        <v>32</v>
      </c>
      <c r="L29" s="22" t="s">
        <v>33</v>
      </c>
      <c r="M29" s="238" t="s">
        <v>34</v>
      </c>
      <c r="N29" s="22" t="s">
        <v>35</v>
      </c>
      <c r="O29" s="30" t="s">
        <v>179</v>
      </c>
      <c r="P29" s="30" t="s">
        <v>180</v>
      </c>
      <c r="Q29" s="30" t="s">
        <v>167</v>
      </c>
      <c r="R29" s="29"/>
      <c r="S29" s="29"/>
      <c r="T29" s="29"/>
      <c r="U29" s="191"/>
      <c r="V29" s="32"/>
      <c r="W29" s="32"/>
      <c r="X29" s="32"/>
      <c r="Y29" s="32"/>
      <c r="Z29" s="32"/>
      <c r="AA29" s="32"/>
      <c r="AB29" s="32"/>
      <c r="AC29" s="32"/>
    </row>
    <row r="30" spans="2:29" ht="12.75">
      <c r="B30" s="75" t="str">
        <f aca="true" t="shared" si="4" ref="B30:B38">B16</f>
        <v>Poulette consommation</v>
      </c>
      <c r="C30" s="232"/>
      <c r="D30" s="317">
        <v>1.4</v>
      </c>
      <c r="E30" s="207"/>
      <c r="F30" s="332">
        <v>0.7</v>
      </c>
      <c r="G30" s="213"/>
      <c r="H30" s="214" t="s">
        <v>166</v>
      </c>
      <c r="I30" s="262">
        <f>IF(B30=K$5,((D30*C30+E30*F30)*0.3333),IF(B30=K$6,((D30*C30+E30*F30)*0.4),(D30*C30+E30*F30)))</f>
        <v>0</v>
      </c>
      <c r="J30" s="159">
        <f>IF(B30=K$2,I30*0.03111,IF(B30=K$3,I30*0.03111,I30*0.0341))</f>
        <v>0</v>
      </c>
      <c r="K30" s="231">
        <f>I30*0.00646</f>
        <v>0</v>
      </c>
      <c r="L30" s="211">
        <f aca="true" t="shared" si="5" ref="L30:L39">C44*D44</f>
        <v>0</v>
      </c>
      <c r="M30" s="23">
        <f>IF(B44=K$2,L30*0.03111,IF(B44=K$3,L30*0.03111,L30*0.0341))</f>
        <v>0</v>
      </c>
      <c r="N30" s="237">
        <f>L30*0.00646</f>
        <v>0</v>
      </c>
      <c r="O30" s="260"/>
      <c r="P30" s="261">
        <f>I30-L30-(E30*F30)</f>
        <v>0</v>
      </c>
      <c r="Q30" s="261"/>
      <c r="R30" s="29"/>
      <c r="S30" s="29"/>
      <c r="T30" s="29"/>
      <c r="U30" s="191"/>
      <c r="V30" s="32"/>
      <c r="W30" s="32"/>
      <c r="X30" s="32"/>
      <c r="Y30" s="32"/>
      <c r="Z30" s="32"/>
      <c r="AA30" s="32"/>
      <c r="AB30" s="32"/>
      <c r="AC30" s="32"/>
    </row>
    <row r="31" spans="2:29" ht="12.75">
      <c r="B31" s="436" t="str">
        <f t="shared" si="4"/>
        <v>Poulette incubation</v>
      </c>
      <c r="C31" s="232"/>
      <c r="D31" s="317">
        <v>1.36</v>
      </c>
      <c r="E31" s="207"/>
      <c r="F31" s="333">
        <v>0.7</v>
      </c>
      <c r="G31" s="218"/>
      <c r="H31" s="214" t="s">
        <v>166</v>
      </c>
      <c r="I31" s="262">
        <f>IF(B31=K$5,((D31*C31+E31*F31)*0.3333),IF(B31=K$6,((D31*C31+E31*F31)*0.4),(D31*C31+E31*F31)))</f>
        <v>0</v>
      </c>
      <c r="J31" s="159">
        <f>IF(B31=K$2,I31*0.03111,IF(B31=K$3,I31*0.03111,I31*0.0341))</f>
        <v>0</v>
      </c>
      <c r="K31" s="231">
        <f>I31*0.00646</f>
        <v>0</v>
      </c>
      <c r="L31" s="211">
        <f t="shared" si="5"/>
        <v>0</v>
      </c>
      <c r="M31" s="23">
        <f>IF(B45=K$2,L31*0.03111,IF(B45=K$3,L31*0.03111,L31*0.0341))</f>
        <v>0</v>
      </c>
      <c r="N31" s="237">
        <f>L31*0.00646</f>
        <v>0</v>
      </c>
      <c r="O31" s="262"/>
      <c r="P31" s="261">
        <f>I31-L31-(E31*F31)</f>
        <v>0</v>
      </c>
      <c r="Q31" s="262"/>
      <c r="R31" s="29"/>
      <c r="S31" s="29"/>
      <c r="T31" s="29"/>
      <c r="U31" s="192"/>
      <c r="V31" s="32"/>
      <c r="W31" s="32"/>
      <c r="X31" s="32"/>
      <c r="Y31" s="32"/>
      <c r="Z31" s="32"/>
      <c r="AA31" s="32"/>
      <c r="AB31" s="32"/>
      <c r="AC31" s="32"/>
    </row>
    <row r="32" spans="2:29" ht="12.75">
      <c r="B32" s="76" t="str">
        <f t="shared" si="4"/>
        <v>Pondeuse consommation</v>
      </c>
      <c r="C32" s="232"/>
      <c r="D32" s="317">
        <v>1.82</v>
      </c>
      <c r="E32" s="207"/>
      <c r="F32" s="332"/>
      <c r="G32" s="144"/>
      <c r="H32" s="215" t="s">
        <v>205</v>
      </c>
      <c r="I32" s="262">
        <f>D32*C32+E32*F32</f>
        <v>0</v>
      </c>
      <c r="J32" s="159">
        <f>I32*0.02283</f>
        <v>0</v>
      </c>
      <c r="K32" s="208">
        <f>I32*0.005</f>
        <v>0</v>
      </c>
      <c r="L32" s="211">
        <f t="shared" si="5"/>
        <v>0</v>
      </c>
      <c r="M32" s="24">
        <f>L32*0.02283</f>
        <v>0</v>
      </c>
      <c r="N32" s="237">
        <f>L32*0.005</f>
        <v>0</v>
      </c>
      <c r="O32" s="262">
        <f>I32-L32-(E32*F32)</f>
        <v>0</v>
      </c>
      <c r="P32" s="31"/>
      <c r="Q32" s="262"/>
      <c r="R32" s="29"/>
      <c r="S32" s="29"/>
      <c r="T32" s="29"/>
      <c r="U32" s="192"/>
      <c r="V32" s="32"/>
      <c r="W32" s="32"/>
      <c r="X32" s="32"/>
      <c r="Y32" s="32"/>
      <c r="Z32" s="32"/>
      <c r="AA32" s="32"/>
      <c r="AB32" s="32"/>
      <c r="AC32" s="32"/>
    </row>
    <row r="33" spans="2:29" ht="12.75">
      <c r="B33" s="76" t="str">
        <f t="shared" si="4"/>
        <v>Poulet à griller (Mâle)</v>
      </c>
      <c r="C33" s="426"/>
      <c r="D33" s="428">
        <v>16.4</v>
      </c>
      <c r="E33" s="429"/>
      <c r="F33" s="333">
        <v>8</v>
      </c>
      <c r="G33" s="144"/>
      <c r="H33" s="160" t="s">
        <v>167</v>
      </c>
      <c r="I33" s="262">
        <f aca="true" t="shared" si="6" ref="I33:I39">D33*C33+E33*F33</f>
        <v>0</v>
      </c>
      <c r="J33" s="159">
        <f>IF($B33=$P$5,I33*0.035,IF($B33=$P$6,I33*0.036,IF($B33=$P$7,I33*0.0341,IF($B33=$P$8,I33*0.0341,I33*0.0315))))</f>
        <v>0</v>
      </c>
      <c r="K33" s="208">
        <f>IF($B33=$P$7,I33*0.00646,IF($B33=$P$8,I33*0.00646,I33*0.0043))</f>
        <v>0</v>
      </c>
      <c r="L33" s="425">
        <f t="shared" si="5"/>
        <v>0</v>
      </c>
      <c r="M33" s="159">
        <f>IF($B33=$P$5,L33*0.035,IF($B33=$P$6,L33*0.036,IF($B33=$P$7,L33*0.0341,IF($B33=$P$8,L33*0.0341,L33*0.0315))))</f>
        <v>0</v>
      </c>
      <c r="N33" s="208">
        <f>IF($B33=$P$7,L33*0.00646,IF($B33=$P$8,L33*0.00646,L33*0.0043))</f>
        <v>0</v>
      </c>
      <c r="O33" s="263"/>
      <c r="P33" s="31"/>
      <c r="Q33" s="262">
        <f aca="true" t="shared" si="7" ref="Q33:Q38">I33-L33-E33*F33</f>
        <v>0</v>
      </c>
      <c r="R33" s="29"/>
      <c r="S33" s="29"/>
      <c r="T33" s="29"/>
      <c r="U33" s="192"/>
      <c r="V33" s="32"/>
      <c r="W33" s="32"/>
      <c r="X33" s="32"/>
      <c r="Y33" s="32"/>
      <c r="Z33" s="32"/>
      <c r="AA33" s="32"/>
      <c r="AB33" s="32"/>
      <c r="AC33" s="32"/>
    </row>
    <row r="34" spans="2:29" ht="12.75">
      <c r="B34" s="76" t="str">
        <f t="shared" si="4"/>
        <v>Poulet à griller (Femelle)</v>
      </c>
      <c r="C34" s="341"/>
      <c r="D34" s="335">
        <v>16.4</v>
      </c>
      <c r="E34" s="432"/>
      <c r="F34" s="335">
        <v>8</v>
      </c>
      <c r="G34" s="145"/>
      <c r="H34" s="160" t="s">
        <v>167</v>
      </c>
      <c r="I34" s="262">
        <f>D34*C34+E34*F34</f>
        <v>0</v>
      </c>
      <c r="J34" s="159">
        <f>IF($B34=$P$5,I34*0.035,IF($B34=$P$6,I34*0.036,IF($B34=$P$7,I34*0.0341,IF($B34=$P$8,I34*0.0341,I34*0.0315))))</f>
        <v>0</v>
      </c>
      <c r="K34" s="208">
        <f>IF($B34=$P$7,I34*0.00646,IF($B34=$P$8,I34*0.00646,I34*0.0043))</f>
        <v>0</v>
      </c>
      <c r="L34" s="425">
        <f t="shared" si="5"/>
        <v>0</v>
      </c>
      <c r="M34" s="159">
        <f>IF($B34=$P$5,L34*0.035,IF($B34=$P$6,L34*0.036,IF($B34=$P$7,L34*0.0341,IF($B34=$P$8,L34*0.0341,L34*0.0315))))</f>
        <v>0</v>
      </c>
      <c r="N34" s="208">
        <f>IF($B34=$P$7,L34*0.00646,IF($B34=$P$8,L34*0.00646,L34*0.0043))</f>
        <v>0</v>
      </c>
      <c r="O34" s="263"/>
      <c r="P34" s="31"/>
      <c r="Q34" s="262">
        <f t="shared" si="7"/>
        <v>0</v>
      </c>
      <c r="R34" s="29"/>
      <c r="S34" s="29"/>
      <c r="T34" s="29"/>
      <c r="U34" s="32"/>
      <c r="V34" s="32"/>
      <c r="W34" s="32"/>
      <c r="X34" s="32"/>
      <c r="Y34" s="32"/>
      <c r="Z34" s="32"/>
      <c r="AA34" s="32"/>
      <c r="AB34" s="32"/>
      <c r="AC34" s="32"/>
    </row>
    <row r="35" spans="2:29" ht="12.75">
      <c r="B35" s="76" t="str">
        <f t="shared" si="4"/>
        <v>Poulet à rôtir</v>
      </c>
      <c r="C35" s="434"/>
      <c r="D35" s="332">
        <v>5.95</v>
      </c>
      <c r="E35" s="338"/>
      <c r="F35" s="339"/>
      <c r="G35" s="217"/>
      <c r="H35" s="160" t="s">
        <v>167</v>
      </c>
      <c r="I35" s="262">
        <f>D35*C35+E35*F35</f>
        <v>0</v>
      </c>
      <c r="J35" s="159">
        <f>IF($B35=$P$5,I35*0.035,IF($B35=$P$6,I35*0.036,IF($B35=$P$7,I35*0.0341,IF($B35=$P$8,I35*0.0341,I35*0.0315))))</f>
        <v>0</v>
      </c>
      <c r="K35" s="208">
        <f>IF($B35=$P$7,I35*0.00646,IF($B35=$P$8,I35*0.00646,I35*0.0043))</f>
        <v>0</v>
      </c>
      <c r="L35" s="425">
        <f t="shared" si="5"/>
        <v>0</v>
      </c>
      <c r="M35" s="159">
        <f>IF($B35=$P$5,L35*0.035,IF($B35=$P$6,L35*0.036,IF($B35=$P$7,L35*0.0341,IF($B35=$P$8,L35*0.0341,L35*0.0315))))</f>
        <v>0</v>
      </c>
      <c r="N35" s="208">
        <f>IF($B35=$P$7,L35*0.00646,IF($B35=$P$8,L35*0.00646,L35*0.0043))</f>
        <v>0</v>
      </c>
      <c r="O35" s="263"/>
      <c r="P35" s="31"/>
      <c r="Q35" s="262">
        <f t="shared" si="7"/>
        <v>0</v>
      </c>
      <c r="R35" s="29"/>
      <c r="S35" s="29"/>
      <c r="T35" s="29"/>
      <c r="U35" s="32"/>
      <c r="V35" s="32"/>
      <c r="W35" s="32"/>
      <c r="X35" s="32"/>
      <c r="Y35" s="32"/>
      <c r="Z35" s="32"/>
      <c r="AA35" s="32"/>
      <c r="AB35" s="32"/>
      <c r="AC35" s="32"/>
    </row>
    <row r="36" spans="2:29" ht="12.75">
      <c r="B36" s="76" t="str">
        <f t="shared" si="4"/>
        <v>Dindon à griller</v>
      </c>
      <c r="C36" s="431"/>
      <c r="D36" s="333">
        <v>4.06</v>
      </c>
      <c r="E36" s="205"/>
      <c r="F36" s="430"/>
      <c r="G36" s="217"/>
      <c r="H36" s="160" t="s">
        <v>167</v>
      </c>
      <c r="I36" s="262">
        <f>D36*C36+E36*F36</f>
        <v>0</v>
      </c>
      <c r="J36" s="159">
        <f>IF($B36=$P$5,I36*0.035,IF($B36=$P$6,I36*0.036,IF($B36=$P$7,I36*0.0341,IF($B36=$P$8,I36*0.0341,I36*0.0315))))</f>
        <v>0</v>
      </c>
      <c r="K36" s="208">
        <f>IF($B36=$P$7,I36*0.00646,IF($B36=$P$8,I36*0.00646,I36*0.0043))</f>
        <v>0</v>
      </c>
      <c r="L36" s="425">
        <f t="shared" si="5"/>
        <v>0</v>
      </c>
      <c r="M36" s="159">
        <f>IF($B36=$P$5,L36*0.035,IF($B36=$P$6,L36*0.036,IF($B36=$P$7,L36*0.0341,IF($B36=$P$8,L36*0.0341,L36*0.0315))))</f>
        <v>0</v>
      </c>
      <c r="N36" s="208">
        <f>IF($B36=$P$7,L36*0.00646,IF($B36=$P$8,L36*0.00646,L36*0.0043))</f>
        <v>0</v>
      </c>
      <c r="O36" s="263"/>
      <c r="P36" s="31"/>
      <c r="Q36" s="262">
        <f t="shared" si="7"/>
        <v>0</v>
      </c>
      <c r="R36" s="29"/>
      <c r="S36" s="29"/>
      <c r="T36" s="29"/>
      <c r="U36" s="32"/>
      <c r="V36" s="32"/>
      <c r="W36" s="32"/>
      <c r="X36" s="32"/>
      <c r="Y36" s="32"/>
      <c r="Z36" s="32"/>
      <c r="AA36" s="32"/>
      <c r="AB36" s="32"/>
      <c r="AC36" s="32"/>
    </row>
    <row r="37" spans="2:29" ht="12.75">
      <c r="B37" s="76" t="str">
        <f t="shared" si="4"/>
        <v>Canard Barbarie/Mulard</v>
      </c>
      <c r="C37" s="427"/>
      <c r="D37" s="333">
        <v>4.5</v>
      </c>
      <c r="E37" s="205"/>
      <c r="F37" s="430"/>
      <c r="G37" s="217"/>
      <c r="H37" s="35" t="s">
        <v>158</v>
      </c>
      <c r="I37" s="262">
        <f t="shared" si="6"/>
        <v>0</v>
      </c>
      <c r="J37" s="159">
        <f>I37*0.0278</f>
        <v>0</v>
      </c>
      <c r="K37" s="208">
        <f>I37*0.0043</f>
        <v>0</v>
      </c>
      <c r="L37" s="211">
        <f t="shared" si="5"/>
        <v>0</v>
      </c>
      <c r="M37" s="24">
        <f>L37*0.0278</f>
        <v>0</v>
      </c>
      <c r="N37" s="237">
        <f>L37*0.0043</f>
        <v>0</v>
      </c>
      <c r="O37" s="262"/>
      <c r="P37" s="31"/>
      <c r="Q37" s="262">
        <f t="shared" si="7"/>
        <v>0</v>
      </c>
      <c r="R37" s="29"/>
      <c r="S37" s="29"/>
      <c r="T37" s="29"/>
      <c r="U37" s="32"/>
      <c r="V37" s="32"/>
      <c r="W37" s="32"/>
      <c r="X37" s="32"/>
      <c r="Y37" s="32"/>
      <c r="Z37" s="32"/>
      <c r="AA37" s="32"/>
      <c r="AB37" s="32"/>
      <c r="AC37" s="32"/>
    </row>
    <row r="38" spans="2:29" ht="12.75">
      <c r="B38" s="76" t="str">
        <f t="shared" si="4"/>
        <v>Pintades</v>
      </c>
      <c r="C38" s="341"/>
      <c r="D38" s="336">
        <v>1.83</v>
      </c>
      <c r="E38" s="337"/>
      <c r="F38" s="340"/>
      <c r="G38" s="217"/>
      <c r="H38" s="35" t="s">
        <v>159</v>
      </c>
      <c r="I38" s="262">
        <f t="shared" si="6"/>
        <v>0</v>
      </c>
      <c r="J38" s="159">
        <f>I38*0.036</f>
        <v>0</v>
      </c>
      <c r="K38" s="208">
        <f>I38*0.0043</f>
        <v>0</v>
      </c>
      <c r="L38" s="211">
        <f t="shared" si="5"/>
        <v>0</v>
      </c>
      <c r="M38" s="24">
        <f>L38*0.036</f>
        <v>0</v>
      </c>
      <c r="N38" s="237">
        <f>L38*0.0043</f>
        <v>0</v>
      </c>
      <c r="O38" s="262"/>
      <c r="P38" s="31"/>
      <c r="Q38" s="262">
        <f t="shared" si="7"/>
        <v>0</v>
      </c>
      <c r="R38" s="29"/>
      <c r="S38" s="29"/>
      <c r="T38" s="29"/>
      <c r="U38" s="32"/>
      <c r="V38" s="32"/>
      <c r="W38" s="32"/>
      <c r="X38" s="32"/>
      <c r="Y38" s="32"/>
      <c r="Z38" s="32"/>
      <c r="AA38" s="32"/>
      <c r="AB38" s="32"/>
      <c r="AC38" s="32"/>
    </row>
    <row r="39" spans="2:29" ht="12.75">
      <c r="B39" s="76" t="s">
        <v>154</v>
      </c>
      <c r="C39" s="331"/>
      <c r="D39" s="332">
        <v>0.25</v>
      </c>
      <c r="E39" s="338"/>
      <c r="F39" s="339"/>
      <c r="G39" s="217"/>
      <c r="H39" s="35" t="s">
        <v>154</v>
      </c>
      <c r="I39" s="262">
        <f t="shared" si="6"/>
        <v>0</v>
      </c>
      <c r="J39" s="159">
        <f>I39*0.02283</f>
        <v>0</v>
      </c>
      <c r="K39" s="208">
        <f>I39*0.005</f>
        <v>0</v>
      </c>
      <c r="L39" s="211">
        <f t="shared" si="5"/>
        <v>0</v>
      </c>
      <c r="M39" s="24">
        <f>L39*0.02283</f>
        <v>0</v>
      </c>
      <c r="N39" s="237">
        <f>L39*0.005</f>
        <v>0</v>
      </c>
      <c r="O39" s="262">
        <f>I39-L39-(E39*F39)</f>
        <v>0</v>
      </c>
      <c r="P39" s="31"/>
      <c r="Q39" s="262"/>
      <c r="R39" s="29"/>
      <c r="S39" s="29"/>
      <c r="T39" s="29"/>
      <c r="U39" s="32"/>
      <c r="V39" s="32"/>
      <c r="W39" s="32"/>
      <c r="X39" s="32"/>
      <c r="Y39" s="32"/>
      <c r="Z39" s="32"/>
      <c r="AA39" s="32"/>
      <c r="AB39" s="32"/>
      <c r="AC39" s="32"/>
    </row>
    <row r="40" spans="2:29" ht="12.75">
      <c r="B40" s="77" t="s">
        <v>157</v>
      </c>
      <c r="C40" s="331"/>
      <c r="D40" s="334">
        <v>0.06</v>
      </c>
      <c r="E40" s="229"/>
      <c r="F40" s="230"/>
      <c r="G40" s="217"/>
      <c r="H40" s="160" t="s">
        <v>160</v>
      </c>
      <c r="I40" s="310"/>
      <c r="K40" s="272"/>
      <c r="L40" s="226"/>
      <c r="M40" s="240"/>
      <c r="N40" s="241"/>
      <c r="O40" s="31"/>
      <c r="P40" s="31"/>
      <c r="Q40" s="262"/>
      <c r="R40" s="29"/>
      <c r="S40" s="29"/>
      <c r="T40" s="29"/>
      <c r="U40" s="32"/>
      <c r="V40" s="32"/>
      <c r="W40" s="32"/>
      <c r="X40" s="32"/>
      <c r="Y40" s="32"/>
      <c r="Z40" s="32"/>
      <c r="AA40" s="32"/>
      <c r="AB40" s="32"/>
      <c r="AC40" s="32"/>
    </row>
    <row r="41" spans="2:29" ht="12.75">
      <c r="B41" s="65"/>
      <c r="C41" s="65"/>
      <c r="D41" s="65"/>
      <c r="E41" s="65"/>
      <c r="F41" s="78"/>
      <c r="G41" s="217"/>
      <c r="H41" s="216" t="s">
        <v>26</v>
      </c>
      <c r="I41" s="250">
        <f>SUM(I30:I39)</f>
        <v>0</v>
      </c>
      <c r="J41" s="250">
        <f aca="true" t="shared" si="8" ref="J41:Q41">SUM(J30:J39)</f>
        <v>0</v>
      </c>
      <c r="K41" s="250">
        <f t="shared" si="8"/>
        <v>0</v>
      </c>
      <c r="L41" s="250">
        <f t="shared" si="8"/>
        <v>0</v>
      </c>
      <c r="M41" s="250">
        <f t="shared" si="8"/>
        <v>0</v>
      </c>
      <c r="N41" s="307">
        <f t="shared" si="8"/>
        <v>0</v>
      </c>
      <c r="O41" s="250">
        <f t="shared" si="8"/>
        <v>0</v>
      </c>
      <c r="P41" s="250">
        <f t="shared" si="8"/>
        <v>0</v>
      </c>
      <c r="Q41" s="250">
        <f t="shared" si="8"/>
        <v>0</v>
      </c>
      <c r="R41" s="29"/>
      <c r="S41" s="29"/>
      <c r="T41" s="29"/>
      <c r="U41" s="32"/>
      <c r="V41" s="32"/>
      <c r="W41" s="32"/>
      <c r="X41" s="32"/>
      <c r="Y41" s="32"/>
      <c r="Z41" s="32"/>
      <c r="AA41" s="32"/>
      <c r="AB41" s="32"/>
      <c r="AC41" s="32"/>
    </row>
    <row r="42" spans="2:26" ht="12.75">
      <c r="B42" s="66" t="s">
        <v>37</v>
      </c>
      <c r="C42" s="73" t="s">
        <v>27</v>
      </c>
      <c r="D42" s="73" t="s">
        <v>28</v>
      </c>
      <c r="E42" s="79"/>
      <c r="G42" s="191"/>
      <c r="H42" s="223" t="s">
        <v>185</v>
      </c>
      <c r="I42" s="250">
        <f>D40*C40</f>
        <v>0</v>
      </c>
      <c r="J42" s="271">
        <f>I42*0.01811</f>
        <v>0</v>
      </c>
      <c r="K42" s="239">
        <f>I42*0.00193</f>
        <v>0</v>
      </c>
      <c r="M42" s="226"/>
      <c r="N42" s="226"/>
      <c r="O42" s="226"/>
      <c r="P42" s="226"/>
      <c r="Q42" s="226"/>
      <c r="R42" s="227"/>
      <c r="S42" s="227"/>
      <c r="T42" s="227"/>
      <c r="U42" s="32"/>
      <c r="V42" s="32"/>
      <c r="W42" s="32"/>
      <c r="X42" s="32"/>
      <c r="Y42" s="32"/>
      <c r="Z42" s="32"/>
    </row>
    <row r="43" spans="2:26" ht="12.75">
      <c r="B43" s="65"/>
      <c r="C43" s="74"/>
      <c r="D43" s="74" t="s">
        <v>29</v>
      </c>
      <c r="E43" s="79"/>
      <c r="F43" s="223"/>
      <c r="G43" s="224"/>
      <c r="H43" s="225"/>
      <c r="I43" s="226"/>
      <c r="J43" s="226"/>
      <c r="K43" s="226"/>
      <c r="L43" s="226"/>
      <c r="M43" s="226"/>
      <c r="N43" s="226"/>
      <c r="O43" s="226"/>
      <c r="P43" s="226"/>
      <c r="Q43" s="226"/>
      <c r="R43" s="227"/>
      <c r="S43" s="227"/>
      <c r="T43" s="227"/>
      <c r="U43" s="32"/>
      <c r="V43" s="32"/>
      <c r="W43" s="32"/>
      <c r="X43" s="32"/>
      <c r="Y43" s="32"/>
      <c r="Z43" s="32"/>
    </row>
    <row r="44" spans="2:26" ht="12.75">
      <c r="B44" s="75" t="str">
        <f>B30</f>
        <v>Poulette consommation</v>
      </c>
      <c r="C44" s="232"/>
      <c r="D44" s="233">
        <v>0.044</v>
      </c>
      <c r="E44" s="80"/>
      <c r="F44" s="223"/>
      <c r="G44" s="219"/>
      <c r="H44" s="225"/>
      <c r="I44" s="226"/>
      <c r="J44" s="226"/>
      <c r="K44" s="226"/>
      <c r="L44" s="226"/>
      <c r="M44" s="226"/>
      <c r="N44" s="226"/>
      <c r="O44" s="226"/>
      <c r="P44" s="226"/>
      <c r="Q44" s="226"/>
      <c r="R44" s="227"/>
      <c r="S44" s="227"/>
      <c r="T44" s="227"/>
      <c r="U44" s="32"/>
      <c r="V44" s="32"/>
      <c r="W44" s="32"/>
      <c r="X44" s="32"/>
      <c r="Y44" s="32"/>
      <c r="Z44" s="32"/>
    </row>
    <row r="45" spans="2:27" ht="12.75">
      <c r="B45" s="436" t="str">
        <f aca="true" t="shared" si="9" ref="B45:B52">B17</f>
        <v>Poulette incubation</v>
      </c>
      <c r="C45" s="312"/>
      <c r="D45" s="233">
        <v>0.044</v>
      </c>
      <c r="E45" s="80"/>
      <c r="F45" s="223"/>
      <c r="G45" s="219"/>
      <c r="H45" s="225"/>
      <c r="I45" s="226"/>
      <c r="J45" s="226"/>
      <c r="K45" s="226"/>
      <c r="L45" s="226"/>
      <c r="M45" s="226"/>
      <c r="N45" s="226"/>
      <c r="O45" s="226"/>
      <c r="P45" s="226"/>
      <c r="Q45" s="226"/>
      <c r="R45" s="227"/>
      <c r="S45" s="227"/>
      <c r="T45" s="227"/>
      <c r="U45" s="32"/>
      <c r="V45" s="32"/>
      <c r="W45" s="32"/>
      <c r="X45" s="32"/>
      <c r="Y45" s="32"/>
      <c r="Z45" s="32"/>
      <c r="AA45" s="32"/>
    </row>
    <row r="46" spans="2:27" ht="12.75">
      <c r="B46" s="76" t="str">
        <f t="shared" si="9"/>
        <v>Pondeuse consommation</v>
      </c>
      <c r="C46" s="313"/>
      <c r="D46" s="234">
        <v>1.42</v>
      </c>
      <c r="E46" s="80"/>
      <c r="F46" s="223"/>
      <c r="G46" s="219"/>
      <c r="H46" s="225"/>
      <c r="I46" s="226"/>
      <c r="J46" s="226"/>
      <c r="K46" s="226"/>
      <c r="L46" s="226"/>
      <c r="M46" s="226"/>
      <c r="N46" s="226"/>
      <c r="O46" s="226"/>
      <c r="P46" s="226"/>
      <c r="Q46" s="226"/>
      <c r="R46" s="227"/>
      <c r="S46" s="227"/>
      <c r="T46" s="227"/>
      <c r="U46" s="32"/>
      <c r="V46" s="32"/>
      <c r="W46" s="32"/>
      <c r="X46" s="32"/>
      <c r="Y46" s="32"/>
      <c r="Z46" s="32"/>
      <c r="AA46" s="32"/>
    </row>
    <row r="47" spans="2:27" ht="12.75">
      <c r="B47" s="76" t="str">
        <f t="shared" si="9"/>
        <v>Poulet à griller (Mâle)</v>
      </c>
      <c r="C47" s="312"/>
      <c r="D47" s="233">
        <v>0.06</v>
      </c>
      <c r="E47" s="80"/>
      <c r="F47" s="223"/>
      <c r="G47" s="219"/>
      <c r="H47" s="225"/>
      <c r="I47" s="226"/>
      <c r="J47" s="226"/>
      <c r="K47" s="226"/>
      <c r="L47" s="226"/>
      <c r="M47" s="226"/>
      <c r="N47" s="226"/>
      <c r="O47" s="226"/>
      <c r="P47" s="226"/>
      <c r="Q47" s="226"/>
      <c r="R47" s="227"/>
      <c r="S47" s="227"/>
      <c r="T47" s="227"/>
      <c r="U47" s="32"/>
      <c r="V47" s="32"/>
      <c r="W47" s="32"/>
      <c r="X47" s="32"/>
      <c r="Y47" s="32"/>
      <c r="Z47" s="32"/>
      <c r="AA47" s="32"/>
    </row>
    <row r="48" spans="2:27" ht="12.75">
      <c r="B48" s="76" t="str">
        <f t="shared" si="9"/>
        <v>Poulet à griller (Femelle)</v>
      </c>
      <c r="C48" s="314"/>
      <c r="D48" s="235">
        <v>0.06</v>
      </c>
      <c r="E48" s="80"/>
      <c r="F48" s="223"/>
      <c r="G48" s="219"/>
      <c r="H48" s="225"/>
      <c r="I48" s="226"/>
      <c r="J48" s="226"/>
      <c r="K48" s="226"/>
      <c r="L48" s="226"/>
      <c r="M48" s="226"/>
      <c r="N48" s="226"/>
      <c r="O48" s="226"/>
      <c r="P48" s="226"/>
      <c r="Q48" s="226"/>
      <c r="R48" s="227"/>
      <c r="S48" s="227"/>
      <c r="T48" s="227"/>
      <c r="U48" s="32"/>
      <c r="V48" s="32"/>
      <c r="W48" s="32"/>
      <c r="X48" s="32"/>
      <c r="Y48" s="32"/>
      <c r="Z48" s="32"/>
      <c r="AA48" s="32"/>
    </row>
    <row r="49" spans="2:27" ht="12.75">
      <c r="B49" s="76" t="str">
        <f t="shared" si="9"/>
        <v>Poulet à rôtir</v>
      </c>
      <c r="C49" s="312"/>
      <c r="D49" s="233">
        <v>0.06</v>
      </c>
      <c r="E49" s="80"/>
      <c r="F49" s="223"/>
      <c r="G49" s="219"/>
      <c r="H49" s="228"/>
      <c r="I49" s="228"/>
      <c r="J49" s="228"/>
      <c r="K49" s="228"/>
      <c r="L49" s="227"/>
      <c r="M49" s="227"/>
      <c r="N49" s="227"/>
      <c r="O49" s="227"/>
      <c r="P49" s="227"/>
      <c r="Q49" s="227"/>
      <c r="R49" s="227"/>
      <c r="S49" s="227"/>
      <c r="T49" s="227"/>
      <c r="U49" s="32"/>
      <c r="V49" s="32"/>
      <c r="W49" s="32"/>
      <c r="X49" s="32"/>
      <c r="Y49" s="32"/>
      <c r="Z49" s="32"/>
      <c r="AA49" s="32"/>
    </row>
    <row r="50" spans="2:27" ht="12.75">
      <c r="B50" s="76" t="str">
        <f t="shared" si="9"/>
        <v>Dindon à griller</v>
      </c>
      <c r="C50" s="314"/>
      <c r="D50" s="235">
        <v>0.044</v>
      </c>
      <c r="E50" s="80"/>
      <c r="F50" s="223"/>
      <c r="G50" s="219"/>
      <c r="H50" s="228"/>
      <c r="I50" s="228"/>
      <c r="J50" s="227"/>
      <c r="K50" s="228"/>
      <c r="L50" s="227"/>
      <c r="M50" s="227"/>
      <c r="N50" s="227"/>
      <c r="O50" s="227"/>
      <c r="P50" s="227"/>
      <c r="Q50" s="227"/>
      <c r="R50" s="227"/>
      <c r="S50" s="227"/>
      <c r="T50" s="227"/>
      <c r="U50" s="32"/>
      <c r="V50" s="32"/>
      <c r="W50" s="32"/>
      <c r="X50" s="32"/>
      <c r="Y50" s="32"/>
      <c r="Z50" s="32"/>
      <c r="AA50" s="32"/>
    </row>
    <row r="51" spans="2:27" ht="12.75">
      <c r="B51" s="76" t="str">
        <f t="shared" si="9"/>
        <v>Canard Barbarie/Mulard</v>
      </c>
      <c r="C51" s="312"/>
      <c r="D51" s="233">
        <v>0.06</v>
      </c>
      <c r="E51" s="80"/>
      <c r="F51" s="223"/>
      <c r="G51" s="219"/>
      <c r="H51" s="228"/>
      <c r="I51" s="228"/>
      <c r="J51" s="228"/>
      <c r="K51" s="228"/>
      <c r="L51" s="227"/>
      <c r="M51" s="227"/>
      <c r="N51" s="227"/>
      <c r="O51" s="227"/>
      <c r="P51" s="227"/>
      <c r="Q51" s="227"/>
      <c r="R51" s="227"/>
      <c r="S51" s="227"/>
      <c r="T51" s="227"/>
      <c r="U51" s="32"/>
      <c r="V51" s="32"/>
      <c r="W51" s="32"/>
      <c r="X51" s="32"/>
      <c r="Y51" s="32"/>
      <c r="Z51" s="32"/>
      <c r="AA51" s="32"/>
    </row>
    <row r="52" spans="2:27" ht="12.75">
      <c r="B52" s="76" t="str">
        <f t="shared" si="9"/>
        <v>Pintades</v>
      </c>
      <c r="C52" s="312"/>
      <c r="D52" s="233">
        <v>0.04</v>
      </c>
      <c r="E52" s="80"/>
      <c r="F52" s="223"/>
      <c r="G52" s="219"/>
      <c r="H52" s="228"/>
      <c r="I52" s="228"/>
      <c r="J52" s="228"/>
      <c r="K52" s="228"/>
      <c r="L52" s="228"/>
      <c r="M52" s="228"/>
      <c r="N52" s="227"/>
      <c r="O52" s="227"/>
      <c r="P52" s="227"/>
      <c r="Q52" s="227"/>
      <c r="R52" s="227"/>
      <c r="S52" s="227"/>
      <c r="T52" s="227"/>
      <c r="U52" s="32"/>
      <c r="V52" s="32"/>
      <c r="W52" s="32"/>
      <c r="X52" s="32"/>
      <c r="Y52" s="32"/>
      <c r="Z52" s="32"/>
      <c r="AA52" s="32"/>
    </row>
    <row r="53" spans="2:27" ht="12.75">
      <c r="B53" s="77" t="s">
        <v>154</v>
      </c>
      <c r="C53" s="315"/>
      <c r="D53" s="236">
        <v>0.19</v>
      </c>
      <c r="E53" s="80"/>
      <c r="F53" s="223"/>
      <c r="G53" s="219"/>
      <c r="H53" s="228"/>
      <c r="I53" s="228"/>
      <c r="J53" s="228"/>
      <c r="K53" s="228"/>
      <c r="L53" s="228"/>
      <c r="M53" s="228"/>
      <c r="N53" s="227"/>
      <c r="O53" s="227"/>
      <c r="P53" s="227"/>
      <c r="Q53" s="227"/>
      <c r="R53" s="227"/>
      <c r="S53" s="227"/>
      <c r="T53" s="227"/>
      <c r="U53" s="32"/>
      <c r="V53" s="32"/>
      <c r="W53" s="32"/>
      <c r="X53" s="32"/>
      <c r="Y53" s="32"/>
      <c r="Z53" s="32"/>
      <c r="AA53" s="32"/>
    </row>
    <row r="54" spans="2:27" ht="12.75">
      <c r="B54" s="212"/>
      <c r="C54" s="220"/>
      <c r="D54" s="221"/>
      <c r="E54" s="80"/>
      <c r="F54" s="65"/>
      <c r="G54" s="219"/>
      <c r="H54" s="228"/>
      <c r="I54" s="228"/>
      <c r="J54" s="228"/>
      <c r="K54" s="228"/>
      <c r="L54" s="228"/>
      <c r="M54" s="228"/>
      <c r="N54" s="227"/>
      <c r="O54" s="227"/>
      <c r="P54" s="227"/>
      <c r="Q54" s="227"/>
      <c r="R54" s="227"/>
      <c r="S54" s="227"/>
      <c r="T54" s="227"/>
      <c r="U54" s="32"/>
      <c r="V54" s="32"/>
      <c r="W54" s="32"/>
      <c r="X54" s="32"/>
      <c r="Y54" s="32"/>
      <c r="Z54" s="32"/>
      <c r="AA54" s="32"/>
    </row>
    <row r="55" spans="2:27" ht="12.75">
      <c r="B55" s="212"/>
      <c r="C55" s="220"/>
      <c r="D55" s="221"/>
      <c r="E55" s="80"/>
      <c r="F55" s="65"/>
      <c r="G55" s="219"/>
      <c r="H55" s="228"/>
      <c r="I55" s="228"/>
      <c r="J55" s="228"/>
      <c r="K55" s="228"/>
      <c r="L55" s="228"/>
      <c r="M55" s="228"/>
      <c r="N55" s="227"/>
      <c r="O55" s="227"/>
      <c r="P55" s="227"/>
      <c r="Q55" s="227"/>
      <c r="R55" s="227"/>
      <c r="S55" s="227"/>
      <c r="T55" s="227"/>
      <c r="U55" s="32"/>
      <c r="V55" s="32"/>
      <c r="W55" s="32"/>
      <c r="X55" s="32"/>
      <c r="Y55" s="32"/>
      <c r="Z55" s="32"/>
      <c r="AA55" s="32"/>
    </row>
    <row r="56" spans="2:27" ht="12.75">
      <c r="B56" s="212"/>
      <c r="C56" s="220"/>
      <c r="D56" s="221"/>
      <c r="E56" s="80"/>
      <c r="F56" s="65"/>
      <c r="G56" s="219"/>
      <c r="H56" s="228"/>
      <c r="I56" s="228"/>
      <c r="J56" s="228"/>
      <c r="K56" s="228"/>
      <c r="L56" s="228"/>
      <c r="M56" s="228"/>
      <c r="N56" s="227"/>
      <c r="O56" s="227"/>
      <c r="P56" s="227"/>
      <c r="Q56" s="227"/>
      <c r="R56" s="227"/>
      <c r="S56" s="227"/>
      <c r="T56" s="227"/>
      <c r="U56" s="32"/>
      <c r="V56" s="32"/>
      <c r="W56" s="32"/>
      <c r="X56" s="32"/>
      <c r="Y56" s="32"/>
      <c r="Z56" s="32"/>
      <c r="AA56" s="32"/>
    </row>
    <row r="57" spans="2:27" ht="12.75">
      <c r="B57" s="212"/>
      <c r="C57" s="220"/>
      <c r="D57" s="221"/>
      <c r="E57" s="80"/>
      <c r="F57" s="65"/>
      <c r="G57" s="219"/>
      <c r="H57" s="228"/>
      <c r="I57" s="228"/>
      <c r="J57" s="228"/>
      <c r="K57" s="228"/>
      <c r="L57" s="228"/>
      <c r="M57" s="228"/>
      <c r="N57" s="227"/>
      <c r="O57" s="227"/>
      <c r="P57" s="227"/>
      <c r="Q57" s="227"/>
      <c r="R57" s="227"/>
      <c r="S57" s="227"/>
      <c r="T57" s="227"/>
      <c r="U57" s="32"/>
      <c r="V57" s="32"/>
      <c r="W57" s="32"/>
      <c r="X57" s="32"/>
      <c r="Y57" s="32"/>
      <c r="Z57" s="32"/>
      <c r="AA57" s="32"/>
    </row>
    <row r="58" spans="2:27" ht="12.75">
      <c r="B58" s="212"/>
      <c r="C58" s="220"/>
      <c r="D58" s="221"/>
      <c r="E58" s="80"/>
      <c r="F58" s="65"/>
      <c r="G58" s="219"/>
      <c r="H58" s="228"/>
      <c r="I58" s="228"/>
      <c r="J58" s="228"/>
      <c r="K58" s="228"/>
      <c r="L58" s="228"/>
      <c r="M58" s="228"/>
      <c r="N58" s="227"/>
      <c r="O58" s="227"/>
      <c r="P58" s="227"/>
      <c r="Q58" s="227"/>
      <c r="R58" s="227"/>
      <c r="S58" s="227"/>
      <c r="T58" s="227"/>
      <c r="U58" s="32"/>
      <c r="V58" s="32"/>
      <c r="W58" s="32"/>
      <c r="X58" s="32"/>
      <c r="Y58" s="32"/>
      <c r="Z58" s="32"/>
      <c r="AA58" s="32"/>
    </row>
    <row r="59" spans="2:27" ht="12.75">
      <c r="B59" s="212"/>
      <c r="C59" s="220"/>
      <c r="D59" s="221"/>
      <c r="E59" s="80"/>
      <c r="F59" s="65"/>
      <c r="G59" s="219"/>
      <c r="H59" s="228"/>
      <c r="I59" s="228"/>
      <c r="J59" s="228"/>
      <c r="K59" s="228"/>
      <c r="L59" s="228"/>
      <c r="M59" s="228"/>
      <c r="N59" s="227"/>
      <c r="O59" s="227"/>
      <c r="P59" s="227"/>
      <c r="Q59" s="227"/>
      <c r="R59" s="227"/>
      <c r="S59" s="227"/>
      <c r="T59" s="227"/>
      <c r="U59" s="32"/>
      <c r="V59" s="32"/>
      <c r="W59" s="32"/>
      <c r="X59" s="32"/>
      <c r="Y59" s="32"/>
      <c r="Z59" s="32"/>
      <c r="AA59" s="32"/>
    </row>
    <row r="60" spans="2:27" ht="12.75">
      <c r="B60" s="212"/>
      <c r="C60" s="220"/>
      <c r="D60" s="221"/>
      <c r="E60" s="80"/>
      <c r="F60" s="65"/>
      <c r="G60" s="219"/>
      <c r="H60" s="228"/>
      <c r="I60" s="228"/>
      <c r="J60" s="228"/>
      <c r="K60" s="228"/>
      <c r="L60" s="228"/>
      <c r="M60" s="228"/>
      <c r="N60" s="227"/>
      <c r="O60" s="227"/>
      <c r="P60" s="227"/>
      <c r="Q60" s="227"/>
      <c r="R60" s="227"/>
      <c r="S60" s="227"/>
      <c r="T60" s="227"/>
      <c r="U60" s="32"/>
      <c r="V60" s="32"/>
      <c r="W60" s="32"/>
      <c r="X60" s="32"/>
      <c r="Y60" s="32"/>
      <c r="Z60" s="32"/>
      <c r="AA60" s="32"/>
    </row>
    <row r="61" spans="2:27" ht="12.75">
      <c r="B61" s="212"/>
      <c r="C61" s="220"/>
      <c r="D61" s="221"/>
      <c r="E61" s="80"/>
      <c r="F61" s="65"/>
      <c r="G61" s="219"/>
      <c r="H61" s="228"/>
      <c r="I61" s="228"/>
      <c r="J61" s="228"/>
      <c r="K61" s="228"/>
      <c r="L61" s="228"/>
      <c r="M61" s="228"/>
      <c r="N61" s="227"/>
      <c r="O61" s="227"/>
      <c r="P61" s="227"/>
      <c r="Q61" s="227"/>
      <c r="R61" s="227"/>
      <c r="S61" s="227"/>
      <c r="T61" s="227"/>
      <c r="U61" s="32"/>
      <c r="V61" s="32"/>
      <c r="W61" s="32"/>
      <c r="X61" s="32"/>
      <c r="Y61" s="32"/>
      <c r="Z61" s="32"/>
      <c r="AA61" s="32"/>
    </row>
    <row r="62" spans="2:27" ht="12.75">
      <c r="B62" s="212"/>
      <c r="C62" s="220"/>
      <c r="D62" s="221"/>
      <c r="E62" s="80"/>
      <c r="F62" s="65"/>
      <c r="G62" s="219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</row>
    <row r="63" spans="2:27" ht="12.75">
      <c r="B63" s="212"/>
      <c r="C63" s="220"/>
      <c r="D63" s="221"/>
      <c r="E63" s="80"/>
      <c r="F63" s="65"/>
      <c r="G63" s="219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</row>
    <row r="64" spans="3:17" ht="12.75">
      <c r="C64" s="222"/>
      <c r="D64" s="222"/>
      <c r="N64" s="32"/>
      <c r="O64" s="32"/>
      <c r="P64" s="32"/>
      <c r="Q64" s="32"/>
    </row>
    <row r="65" spans="3:17" ht="12.75">
      <c r="C65" s="222"/>
      <c r="D65" s="222"/>
      <c r="N65" s="32"/>
      <c r="O65" s="32"/>
      <c r="P65" s="32"/>
      <c r="Q65" s="32"/>
    </row>
    <row r="66" spans="3:17" ht="12.75">
      <c r="C66" s="222"/>
      <c r="D66" s="222"/>
      <c r="N66" s="32"/>
      <c r="O66" s="32"/>
      <c r="P66" s="32"/>
      <c r="Q66" s="32"/>
    </row>
    <row r="67" spans="3:17" ht="12.75">
      <c r="C67" s="222"/>
      <c r="D67" s="222"/>
      <c r="N67" s="32"/>
      <c r="O67" s="32"/>
      <c r="P67" s="32"/>
      <c r="Q67" s="32"/>
    </row>
    <row r="68" spans="3:17" ht="12.75">
      <c r="C68" s="222"/>
      <c r="D68" s="222"/>
      <c r="N68" s="32"/>
      <c r="O68" s="32"/>
      <c r="P68" s="32"/>
      <c r="Q68" s="32"/>
    </row>
    <row r="69" spans="3:17" ht="12.75">
      <c r="C69" s="222"/>
      <c r="D69" s="222"/>
      <c r="N69" s="32"/>
      <c r="O69" s="32"/>
      <c r="P69" s="32"/>
      <c r="Q69" s="32"/>
    </row>
    <row r="70" spans="3:17" ht="12.75">
      <c r="C70" s="222"/>
      <c r="D70" s="222"/>
      <c r="N70" s="32"/>
      <c r="O70" s="32"/>
      <c r="P70" s="32"/>
      <c r="Q70" s="32"/>
    </row>
    <row r="71" spans="3:4" ht="12.75">
      <c r="C71" s="222"/>
      <c r="D71" s="222"/>
    </row>
    <row r="72" spans="3:4" ht="12.75">
      <c r="C72" s="222"/>
      <c r="D72" s="222"/>
    </row>
    <row r="73" spans="3:4" ht="12.75">
      <c r="C73" s="222"/>
      <c r="D73" s="222"/>
    </row>
    <row r="74" spans="3:4" ht="12.75">
      <c r="C74" s="222"/>
      <c r="D74" s="222"/>
    </row>
    <row r="75" spans="3:4" ht="12.75">
      <c r="C75" s="222"/>
      <c r="D75" s="222"/>
    </row>
    <row r="76" spans="3:4" ht="12.75">
      <c r="C76" s="222"/>
      <c r="D76" s="222"/>
    </row>
    <row r="77" spans="3:4" ht="12.75">
      <c r="C77" s="222"/>
      <c r="D77" s="222"/>
    </row>
    <row r="78" spans="3:12" ht="12.75">
      <c r="C78" s="222"/>
      <c r="D78" s="222"/>
      <c r="L78" s="165"/>
    </row>
    <row r="79" spans="3:12" ht="12.75">
      <c r="C79" s="222"/>
      <c r="D79" s="222"/>
      <c r="L79" s="165"/>
    </row>
    <row r="80" spans="3:12" ht="12.75">
      <c r="C80" s="222"/>
      <c r="D80" s="222"/>
      <c r="L80" s="165"/>
    </row>
    <row r="81" spans="3:4" ht="12.75">
      <c r="C81" s="222"/>
      <c r="D81" s="222"/>
    </row>
    <row r="82" spans="3:4" ht="12.75">
      <c r="C82" s="222"/>
      <c r="D82" s="222"/>
    </row>
    <row r="83" spans="3:4" ht="12.75">
      <c r="C83" s="222"/>
      <c r="D83" s="222"/>
    </row>
    <row r="84" spans="3:4" ht="12.75">
      <c r="C84" s="222"/>
      <c r="D84" s="222"/>
    </row>
    <row r="85" spans="3:4" ht="12.75">
      <c r="C85" s="222"/>
      <c r="D85" s="222"/>
    </row>
    <row r="86" spans="3:4" ht="12.75">
      <c r="C86" s="222"/>
      <c r="D86" s="222"/>
    </row>
    <row r="87" spans="3:4" ht="12.75">
      <c r="C87" s="222"/>
      <c r="D87" s="222"/>
    </row>
    <row r="88" spans="3:4" ht="12.75">
      <c r="C88" s="222"/>
      <c r="D88" s="222"/>
    </row>
    <row r="89" spans="3:4" ht="12.75">
      <c r="C89" s="222"/>
      <c r="D89" s="222"/>
    </row>
    <row r="90" spans="3:4" ht="12.75">
      <c r="C90" s="222"/>
      <c r="D90" s="222"/>
    </row>
    <row r="91" spans="3:4" ht="12.75">
      <c r="C91" s="222"/>
      <c r="D91" s="222"/>
    </row>
    <row r="92" spans="3:4" ht="12.75">
      <c r="C92" s="222"/>
      <c r="D92" s="222"/>
    </row>
    <row r="93" spans="3:4" ht="12.75">
      <c r="C93" s="222"/>
      <c r="D93" s="222"/>
    </row>
    <row r="94" spans="3:4" ht="12.75">
      <c r="C94" s="222"/>
      <c r="D94" s="222"/>
    </row>
    <row r="95" spans="3:4" ht="12.75">
      <c r="C95" s="222"/>
      <c r="D95" s="222"/>
    </row>
    <row r="96" spans="3:4" ht="12.75">
      <c r="C96" s="222"/>
      <c r="D96" s="222"/>
    </row>
    <row r="97" spans="3:4" ht="12.75">
      <c r="C97" s="222"/>
      <c r="D97" s="222"/>
    </row>
    <row r="98" spans="3:4" ht="12.75">
      <c r="C98" s="222"/>
      <c r="D98" s="222"/>
    </row>
    <row r="99" spans="3:4" ht="12.75">
      <c r="C99" s="222"/>
      <c r="D99" s="222"/>
    </row>
    <row r="100" spans="3:4" ht="12.75">
      <c r="C100" s="222"/>
      <c r="D100" s="222"/>
    </row>
    <row r="101" spans="3:4" ht="12.75">
      <c r="C101" s="222"/>
      <c r="D101" s="222"/>
    </row>
    <row r="102" spans="3:4" ht="12.75">
      <c r="C102" s="222"/>
      <c r="D102" s="222"/>
    </row>
    <row r="103" spans="3:4" ht="12.75">
      <c r="C103" s="222"/>
      <c r="D103" s="222"/>
    </row>
    <row r="104" spans="3:4" ht="12.75">
      <c r="C104" s="222"/>
      <c r="D104" s="222"/>
    </row>
    <row r="105" spans="3:4" ht="12.75">
      <c r="C105" s="222"/>
      <c r="D105" s="222"/>
    </row>
    <row r="106" spans="3:4" ht="12.75">
      <c r="C106" s="222"/>
      <c r="D106" s="222"/>
    </row>
    <row r="107" spans="3:4" ht="12.75">
      <c r="C107" s="222"/>
      <c r="D107" s="222"/>
    </row>
    <row r="108" spans="3:4" ht="12.75">
      <c r="C108" s="222"/>
      <c r="D108" s="222"/>
    </row>
    <row r="109" spans="3:4" ht="12.75">
      <c r="C109" s="222"/>
      <c r="D109" s="222"/>
    </row>
    <row r="110" spans="3:4" ht="12.75">
      <c r="C110" s="222"/>
      <c r="D110" s="222"/>
    </row>
    <row r="111" spans="3:4" ht="12.75">
      <c r="C111" s="222"/>
      <c r="D111" s="222"/>
    </row>
    <row r="112" spans="3:4" ht="12.75">
      <c r="C112" s="222"/>
      <c r="D112" s="222"/>
    </row>
    <row r="113" spans="3:4" ht="12.75">
      <c r="C113" s="222"/>
      <c r="D113" s="222"/>
    </row>
    <row r="114" spans="3:4" ht="12.75">
      <c r="C114" s="222"/>
      <c r="D114" s="222"/>
    </row>
    <row r="115" spans="3:4" ht="12.75">
      <c r="C115" s="222"/>
      <c r="D115" s="222"/>
    </row>
    <row r="116" spans="3:4" ht="12.75">
      <c r="C116" s="222"/>
      <c r="D116" s="222"/>
    </row>
    <row r="117" spans="3:4" ht="12.75">
      <c r="C117" s="222"/>
      <c r="D117" s="222"/>
    </row>
    <row r="118" spans="3:4" ht="12.75">
      <c r="C118" s="222"/>
      <c r="D118" s="222"/>
    </row>
    <row r="119" spans="3:4" ht="12.75">
      <c r="C119" s="222"/>
      <c r="D119" s="222"/>
    </row>
    <row r="120" spans="3:4" ht="12.75">
      <c r="C120" s="222"/>
      <c r="D120" s="222"/>
    </row>
    <row r="121" spans="3:4" ht="12.75">
      <c r="C121" s="222"/>
      <c r="D121" s="222"/>
    </row>
    <row r="122" spans="3:4" ht="12.75">
      <c r="C122" s="222"/>
      <c r="D122" s="222"/>
    </row>
    <row r="123" spans="3:4" ht="12.75">
      <c r="C123" s="222"/>
      <c r="D123" s="222"/>
    </row>
    <row r="124" spans="3:4" ht="12.75">
      <c r="C124" s="222"/>
      <c r="D124" s="222"/>
    </row>
    <row r="125" spans="3:4" ht="12.75">
      <c r="C125" s="222"/>
      <c r="D125" s="222"/>
    </row>
    <row r="126" spans="3:4" ht="12.75">
      <c r="C126" s="222"/>
      <c r="D126" s="222"/>
    </row>
    <row r="127" spans="3:4" ht="12.75">
      <c r="C127" s="222"/>
      <c r="D127" s="222"/>
    </row>
    <row r="128" spans="3:4" ht="12.75">
      <c r="C128" s="222"/>
      <c r="D128" s="222"/>
    </row>
    <row r="129" spans="3:4" ht="12.75">
      <c r="C129" s="222"/>
      <c r="D129" s="222"/>
    </row>
    <row r="130" spans="3:4" ht="12.75">
      <c r="C130" s="222"/>
      <c r="D130" s="222"/>
    </row>
    <row r="131" spans="3:4" ht="12.75">
      <c r="C131" s="222"/>
      <c r="D131" s="222"/>
    </row>
    <row r="132" spans="3:4" ht="12.75">
      <c r="C132" s="222"/>
      <c r="D132" s="222"/>
    </row>
    <row r="133" spans="3:4" ht="12.75">
      <c r="C133" s="222"/>
      <c r="D133" s="222"/>
    </row>
    <row r="134" spans="3:4" ht="12.75">
      <c r="C134" s="222"/>
      <c r="D134" s="222"/>
    </row>
    <row r="135" spans="3:4" ht="12.75">
      <c r="C135" s="222"/>
      <c r="D135" s="222"/>
    </row>
    <row r="136" spans="3:4" ht="12.75">
      <c r="C136" s="222"/>
      <c r="D136" s="222"/>
    </row>
    <row r="137" spans="3:4" ht="12.75">
      <c r="C137" s="222"/>
      <c r="D137" s="222"/>
    </row>
    <row r="138" spans="3:4" ht="12.75">
      <c r="C138" s="222"/>
      <c r="D138" s="222"/>
    </row>
    <row r="139" spans="3:4" ht="12.75">
      <c r="C139" s="222"/>
      <c r="D139" s="222"/>
    </row>
    <row r="140" spans="3:4" ht="12.75">
      <c r="C140" s="222"/>
      <c r="D140" s="222"/>
    </row>
    <row r="141" spans="3:4" ht="12.75">
      <c r="C141" s="222"/>
      <c r="D141" s="222"/>
    </row>
    <row r="142" spans="3:4" ht="12.75">
      <c r="C142" s="222"/>
      <c r="D142" s="222"/>
    </row>
    <row r="143" spans="3:4" ht="12.75">
      <c r="C143" s="222"/>
      <c r="D143" s="222"/>
    </row>
    <row r="144" spans="3:4" ht="12.75">
      <c r="C144" s="222"/>
      <c r="D144" s="222"/>
    </row>
    <row r="145" spans="3:4" ht="12.75">
      <c r="C145" s="222"/>
      <c r="D145" s="222"/>
    </row>
    <row r="146" spans="3:4" ht="12.75">
      <c r="C146" s="222"/>
      <c r="D146" s="222"/>
    </row>
    <row r="147" spans="3:4" ht="12.75">
      <c r="C147" s="222"/>
      <c r="D147" s="222"/>
    </row>
    <row r="148" spans="3:4" ht="12.75">
      <c r="C148" s="222"/>
      <c r="D148" s="222"/>
    </row>
    <row r="149" spans="3:4" ht="12.75">
      <c r="C149" s="222"/>
      <c r="D149" s="222"/>
    </row>
    <row r="150" spans="3:4" ht="12.75">
      <c r="C150" s="222"/>
      <c r="D150" s="222"/>
    </row>
    <row r="151" spans="3:4" ht="12.75">
      <c r="C151" s="222"/>
      <c r="D151" s="222"/>
    </row>
    <row r="152" spans="3:4" ht="12.75">
      <c r="C152" s="222"/>
      <c r="D152" s="222"/>
    </row>
    <row r="153" spans="3:4" ht="12.75">
      <c r="C153" s="222"/>
      <c r="D153" s="222"/>
    </row>
    <row r="154" spans="3:4" ht="12.75">
      <c r="C154" s="222"/>
      <c r="D154" s="222"/>
    </row>
    <row r="155" spans="3:4" ht="12.75">
      <c r="C155" s="222"/>
      <c r="D155" s="222"/>
    </row>
    <row r="156" spans="3:4" ht="12.75">
      <c r="C156" s="222"/>
      <c r="D156" s="222"/>
    </row>
    <row r="157" spans="3:4" ht="12.75">
      <c r="C157" s="222"/>
      <c r="D157" s="222"/>
    </row>
    <row r="158" spans="3:4" ht="12.75">
      <c r="C158" s="222"/>
      <c r="D158" s="222"/>
    </row>
    <row r="159" spans="3:4" ht="12.75">
      <c r="C159" s="222"/>
      <c r="D159" s="222"/>
    </row>
    <row r="160" spans="3:4" ht="12.75">
      <c r="C160" s="222"/>
      <c r="D160" s="222"/>
    </row>
    <row r="161" spans="3:4" ht="12.75">
      <c r="C161" s="222"/>
      <c r="D161" s="222"/>
    </row>
    <row r="162" spans="3:4" ht="12.75">
      <c r="C162" s="222"/>
      <c r="D162" s="222"/>
    </row>
    <row r="163" spans="3:4" ht="12.75">
      <c r="C163" s="222"/>
      <c r="D163" s="222"/>
    </row>
    <row r="164" spans="3:4" ht="12.75">
      <c r="C164" s="222"/>
      <c r="D164" s="222"/>
    </row>
    <row r="165" spans="3:4" ht="12.75">
      <c r="C165" s="222"/>
      <c r="D165" s="222"/>
    </row>
    <row r="166" spans="3:4" ht="12.75">
      <c r="C166" s="222"/>
      <c r="D166" s="222"/>
    </row>
    <row r="167" spans="3:4" ht="12.75">
      <c r="C167" s="222"/>
      <c r="D167" s="222"/>
    </row>
    <row r="168" spans="3:4" ht="12.75">
      <c r="C168" s="222"/>
      <c r="D168" s="222"/>
    </row>
    <row r="169" spans="3:4" ht="12.75">
      <c r="C169" s="222"/>
      <c r="D169" s="222"/>
    </row>
    <row r="170" spans="3:4" ht="12.75">
      <c r="C170" s="222"/>
      <c r="D170" s="222"/>
    </row>
    <row r="171" spans="3:4" ht="12.75">
      <c r="C171" s="222"/>
      <c r="D171" s="222"/>
    </row>
    <row r="172" spans="3:4" ht="12.75">
      <c r="C172" s="222"/>
      <c r="D172" s="222"/>
    </row>
    <row r="173" spans="3:4" ht="12.75">
      <c r="C173" s="222"/>
      <c r="D173" s="222"/>
    </row>
    <row r="174" spans="3:4" ht="12.75">
      <c r="C174" s="222"/>
      <c r="D174" s="222"/>
    </row>
    <row r="175" spans="3:4" ht="12.75">
      <c r="C175" s="222"/>
      <c r="D175" s="222"/>
    </row>
    <row r="176" spans="3:4" ht="12.75">
      <c r="C176" s="222"/>
      <c r="D176" s="222"/>
    </row>
    <row r="177" spans="3:4" ht="12.75">
      <c r="C177" s="222"/>
      <c r="D177" s="222"/>
    </row>
    <row r="178" spans="3:4" ht="12.75">
      <c r="C178" s="222"/>
      <c r="D178" s="222"/>
    </row>
    <row r="179" spans="3:4" ht="12.75">
      <c r="C179" s="222"/>
      <c r="D179" s="222"/>
    </row>
    <row r="180" spans="3:4" ht="12.75">
      <c r="C180" s="222"/>
      <c r="D180" s="222"/>
    </row>
    <row r="181" spans="3:4" ht="12.75">
      <c r="C181" s="222"/>
      <c r="D181" s="222"/>
    </row>
    <row r="182" spans="3:4" ht="12.75">
      <c r="C182" s="222"/>
      <c r="D182" s="222"/>
    </row>
    <row r="183" spans="3:4" ht="12.75">
      <c r="C183" s="222"/>
      <c r="D183" s="222"/>
    </row>
    <row r="184" spans="3:4" ht="12.75">
      <c r="C184" s="222"/>
      <c r="D184" s="222"/>
    </row>
    <row r="185" spans="3:4" ht="12.75">
      <c r="C185" s="222"/>
      <c r="D185" s="222"/>
    </row>
    <row r="186" spans="3:4" ht="12.75">
      <c r="C186" s="222"/>
      <c r="D186" s="222"/>
    </row>
    <row r="187" spans="3:4" ht="12.75">
      <c r="C187" s="222"/>
      <c r="D187" s="222"/>
    </row>
    <row r="188" spans="3:4" ht="12.75">
      <c r="C188" s="222"/>
      <c r="D188" s="222"/>
    </row>
    <row r="189" spans="3:4" ht="12.75">
      <c r="C189" s="222"/>
      <c r="D189" s="222"/>
    </row>
    <row r="190" spans="3:4" ht="12.75">
      <c r="C190" s="222"/>
      <c r="D190" s="222"/>
    </row>
    <row r="191" spans="3:4" ht="12.75">
      <c r="C191" s="222"/>
      <c r="D191" s="222"/>
    </row>
    <row r="192" spans="3:4" ht="12.75">
      <c r="C192" s="222"/>
      <c r="D192" s="222"/>
    </row>
    <row r="193" spans="3:4" ht="12.75">
      <c r="C193" s="222"/>
      <c r="D193" s="222"/>
    </row>
    <row r="194" spans="3:4" ht="12.75">
      <c r="C194" s="222"/>
      <c r="D194" s="222"/>
    </row>
    <row r="195" spans="3:4" ht="12.75">
      <c r="C195" s="222"/>
      <c r="D195" s="222"/>
    </row>
    <row r="196" spans="3:4" ht="12.75">
      <c r="C196" s="222"/>
      <c r="D196" s="222"/>
    </row>
    <row r="197" spans="3:4" ht="12.75">
      <c r="C197" s="222"/>
      <c r="D197" s="222"/>
    </row>
    <row r="198" spans="3:4" ht="12.75">
      <c r="C198" s="222"/>
      <c r="D198" s="222"/>
    </row>
    <row r="199" spans="3:4" ht="12.75">
      <c r="C199" s="222"/>
      <c r="D199" s="222"/>
    </row>
    <row r="200" spans="3:4" ht="12.75">
      <c r="C200" s="222"/>
      <c r="D200" s="222"/>
    </row>
    <row r="201" spans="3:4" ht="12.75">
      <c r="C201" s="222"/>
      <c r="D201" s="222"/>
    </row>
    <row r="202" spans="3:4" ht="12.75">
      <c r="C202" s="222"/>
      <c r="D202" s="222"/>
    </row>
    <row r="203" spans="3:4" ht="12.75">
      <c r="C203" s="222"/>
      <c r="D203" s="222"/>
    </row>
    <row r="204" spans="3:4" ht="12.75">
      <c r="C204" s="222"/>
      <c r="D204" s="222"/>
    </row>
    <row r="205" spans="3:4" ht="12.75">
      <c r="C205" s="222"/>
      <c r="D205" s="222"/>
    </row>
    <row r="206" spans="3:4" ht="12.75">
      <c r="C206" s="222"/>
      <c r="D206" s="222"/>
    </row>
    <row r="207" spans="3:4" ht="12.75">
      <c r="C207" s="222"/>
      <c r="D207" s="222"/>
    </row>
    <row r="208" spans="3:4" ht="12.75">
      <c r="C208" s="222"/>
      <c r="D208" s="222"/>
    </row>
    <row r="209" spans="3:4" ht="12.75">
      <c r="C209" s="222"/>
      <c r="D209" s="222"/>
    </row>
    <row r="210" spans="3:4" ht="12.75">
      <c r="C210" s="222"/>
      <c r="D210" s="222"/>
    </row>
    <row r="211" spans="3:4" ht="12.75">
      <c r="C211" s="222"/>
      <c r="D211" s="222"/>
    </row>
    <row r="212" spans="3:4" ht="12.75">
      <c r="C212" s="222"/>
      <c r="D212" s="222"/>
    </row>
    <row r="213" spans="3:4" ht="12.75">
      <c r="C213" s="222"/>
      <c r="D213" s="222"/>
    </row>
    <row r="214" spans="3:4" ht="12.75">
      <c r="C214" s="222"/>
      <c r="D214" s="222"/>
    </row>
    <row r="215" spans="3:4" ht="12.75">
      <c r="C215" s="222"/>
      <c r="D215" s="222"/>
    </row>
    <row r="216" spans="3:4" ht="12.75">
      <c r="C216" s="222"/>
      <c r="D216" s="222"/>
    </row>
    <row r="217" spans="3:4" ht="12.75">
      <c r="C217" s="222"/>
      <c r="D217" s="222"/>
    </row>
    <row r="218" spans="3:4" ht="12.75">
      <c r="C218" s="222"/>
      <c r="D218" s="222"/>
    </row>
    <row r="219" spans="3:4" ht="12.75">
      <c r="C219" s="222"/>
      <c r="D219" s="222"/>
    </row>
    <row r="220" spans="3:4" ht="12.75">
      <c r="C220" s="222"/>
      <c r="D220" s="222"/>
    </row>
    <row r="221" spans="3:4" ht="12.75">
      <c r="C221" s="222"/>
      <c r="D221" s="222"/>
    </row>
    <row r="222" spans="3:4" ht="12.75">
      <c r="C222" s="222"/>
      <c r="D222" s="222"/>
    </row>
    <row r="223" spans="3:4" ht="12.75">
      <c r="C223" s="222"/>
      <c r="D223" s="222"/>
    </row>
    <row r="224" spans="3:4" ht="12.75">
      <c r="C224" s="222"/>
      <c r="D224" s="222"/>
    </row>
    <row r="225" spans="3:4" ht="12.75">
      <c r="C225" s="222"/>
      <c r="D225" s="222"/>
    </row>
    <row r="226" spans="3:4" ht="12.75">
      <c r="C226" s="222"/>
      <c r="D226" s="222"/>
    </row>
    <row r="227" spans="3:4" ht="12.75">
      <c r="C227" s="222"/>
      <c r="D227" s="222"/>
    </row>
    <row r="228" spans="3:4" ht="12.75">
      <c r="C228" s="222"/>
      <c r="D228" s="222"/>
    </row>
    <row r="229" spans="3:4" ht="12.75">
      <c r="C229" s="222"/>
      <c r="D229" s="222"/>
    </row>
    <row r="230" spans="3:4" ht="12.75">
      <c r="C230" s="222"/>
      <c r="D230" s="222"/>
    </row>
    <row r="231" spans="3:4" ht="12.75">
      <c r="C231" s="222"/>
      <c r="D231" s="222"/>
    </row>
    <row r="232" spans="3:4" ht="12.75">
      <c r="C232" s="222"/>
      <c r="D232" s="222"/>
    </row>
    <row r="233" spans="3:4" ht="12.75">
      <c r="C233" s="222"/>
      <c r="D233" s="222"/>
    </row>
    <row r="234" spans="3:4" ht="12.75">
      <c r="C234" s="222"/>
      <c r="D234" s="222"/>
    </row>
    <row r="235" spans="3:4" ht="12.75">
      <c r="C235" s="222"/>
      <c r="D235" s="222"/>
    </row>
    <row r="236" spans="3:4" ht="12.75">
      <c r="C236" s="222"/>
      <c r="D236" s="222"/>
    </row>
    <row r="237" spans="3:4" ht="12.75">
      <c r="C237" s="222"/>
      <c r="D237" s="222"/>
    </row>
    <row r="238" spans="3:4" ht="12.75">
      <c r="C238" s="222"/>
      <c r="D238" s="222"/>
    </row>
    <row r="239" spans="3:4" ht="12.75">
      <c r="C239" s="222"/>
      <c r="D239" s="222"/>
    </row>
    <row r="240" spans="3:4" ht="12.75">
      <c r="C240" s="222"/>
      <c r="D240" s="222"/>
    </row>
    <row r="241" spans="3:4" ht="12.75">
      <c r="C241" s="222"/>
      <c r="D241" s="222"/>
    </row>
    <row r="242" spans="3:4" ht="12.75">
      <c r="C242" s="222"/>
      <c r="D242" s="222"/>
    </row>
    <row r="243" spans="3:4" ht="12.75">
      <c r="C243" s="222"/>
      <c r="D243" s="222"/>
    </row>
    <row r="244" spans="3:4" ht="12.75">
      <c r="C244" s="222"/>
      <c r="D244" s="222"/>
    </row>
    <row r="245" spans="3:4" ht="12.75">
      <c r="C245" s="222"/>
      <c r="D245" s="222"/>
    </row>
    <row r="246" spans="3:4" ht="12.75">
      <c r="C246" s="222"/>
      <c r="D246" s="222"/>
    </row>
    <row r="247" spans="3:4" ht="12.75">
      <c r="C247" s="222"/>
      <c r="D247" s="222"/>
    </row>
    <row r="248" spans="3:4" ht="12.75">
      <c r="C248" s="222"/>
      <c r="D248" s="222"/>
    </row>
    <row r="249" spans="3:4" ht="12.75">
      <c r="C249" s="222"/>
      <c r="D249" s="222"/>
    </row>
    <row r="250" spans="3:4" ht="12.75">
      <c r="C250" s="222"/>
      <c r="D250" s="222"/>
    </row>
    <row r="251" spans="3:4" ht="12.75">
      <c r="C251" s="222"/>
      <c r="D251" s="222"/>
    </row>
    <row r="252" spans="3:4" ht="12.75">
      <c r="C252" s="222"/>
      <c r="D252" s="222"/>
    </row>
    <row r="253" spans="3:4" ht="12.75">
      <c r="C253" s="222"/>
      <c r="D253" s="222"/>
    </row>
    <row r="254" spans="3:4" ht="12.75">
      <c r="C254" s="222"/>
      <c r="D254" s="222"/>
    </row>
    <row r="255" spans="3:4" ht="12.75">
      <c r="C255" s="222"/>
      <c r="D255" s="222"/>
    </row>
    <row r="256" spans="3:4" ht="12.75">
      <c r="C256" s="222"/>
      <c r="D256" s="222"/>
    </row>
    <row r="257" spans="3:4" ht="12.75">
      <c r="C257" s="222"/>
      <c r="D257" s="222"/>
    </row>
    <row r="258" spans="3:4" ht="12.75">
      <c r="C258" s="222"/>
      <c r="D258" s="222"/>
    </row>
    <row r="259" spans="3:4" ht="12.75">
      <c r="C259" s="222"/>
      <c r="D259" s="222"/>
    </row>
    <row r="260" spans="3:4" ht="12.75">
      <c r="C260" s="222"/>
      <c r="D260" s="222"/>
    </row>
    <row r="261" spans="3:4" ht="12.75">
      <c r="C261" s="222"/>
      <c r="D261" s="222"/>
    </row>
    <row r="262" spans="3:4" ht="12.75">
      <c r="C262" s="222"/>
      <c r="D262" s="222"/>
    </row>
    <row r="263" spans="3:4" ht="12.75">
      <c r="C263" s="222"/>
      <c r="D263" s="222"/>
    </row>
    <row r="264" spans="3:4" ht="12.75">
      <c r="C264" s="222"/>
      <c r="D264" s="222"/>
    </row>
    <row r="265" spans="3:4" ht="12.75">
      <c r="C265" s="222"/>
      <c r="D265" s="222"/>
    </row>
    <row r="266" spans="3:4" ht="12.75">
      <c r="C266" s="222"/>
      <c r="D266" s="222"/>
    </row>
    <row r="267" spans="3:4" ht="12.75">
      <c r="C267" s="222"/>
      <c r="D267" s="222"/>
    </row>
    <row r="268" spans="3:4" ht="12.75">
      <c r="C268" s="222"/>
      <c r="D268" s="222"/>
    </row>
    <row r="269" spans="3:4" ht="12.75">
      <c r="C269" s="222"/>
      <c r="D269" s="222"/>
    </row>
    <row r="270" spans="3:4" ht="12.75">
      <c r="C270" s="222"/>
      <c r="D270" s="222"/>
    </row>
    <row r="271" spans="3:4" ht="12.75">
      <c r="C271" s="222"/>
      <c r="D271" s="222"/>
    </row>
    <row r="272" spans="3:4" ht="12.75">
      <c r="C272" s="222"/>
      <c r="D272" s="222"/>
    </row>
    <row r="273" spans="3:4" ht="12.75">
      <c r="C273" s="222"/>
      <c r="D273" s="222"/>
    </row>
    <row r="274" spans="3:4" ht="12.75">
      <c r="C274" s="222"/>
      <c r="D274" s="222"/>
    </row>
    <row r="275" spans="3:4" ht="12.75">
      <c r="C275" s="222"/>
      <c r="D275" s="222"/>
    </row>
    <row r="276" spans="3:4" ht="12.75">
      <c r="C276" s="222"/>
      <c r="D276" s="222"/>
    </row>
    <row r="277" spans="3:4" ht="12.75">
      <c r="C277" s="222"/>
      <c r="D277" s="222"/>
    </row>
    <row r="278" spans="3:4" ht="12.75">
      <c r="C278" s="222"/>
      <c r="D278" s="222"/>
    </row>
    <row r="279" spans="3:4" ht="12.75">
      <c r="C279" s="222"/>
      <c r="D279" s="222"/>
    </row>
    <row r="280" spans="3:4" ht="12.75">
      <c r="C280" s="222"/>
      <c r="D280" s="222"/>
    </row>
    <row r="281" spans="3:4" ht="12.75">
      <c r="C281" s="222"/>
      <c r="D281" s="222"/>
    </row>
    <row r="282" spans="3:4" ht="12.75">
      <c r="C282" s="222"/>
      <c r="D282" s="222"/>
    </row>
    <row r="283" spans="3:4" ht="12.75">
      <c r="C283" s="222"/>
      <c r="D283" s="222"/>
    </row>
    <row r="284" spans="3:4" ht="12.75">
      <c r="C284" s="222"/>
      <c r="D284" s="222"/>
    </row>
    <row r="285" spans="3:4" ht="12.75">
      <c r="C285" s="222"/>
      <c r="D285" s="222"/>
    </row>
    <row r="286" spans="3:4" ht="12.75">
      <c r="C286" s="222"/>
      <c r="D286" s="222"/>
    </row>
    <row r="287" spans="3:4" ht="12.75">
      <c r="C287" s="222"/>
      <c r="D287" s="222"/>
    </row>
    <row r="288" spans="3:4" ht="12.75">
      <c r="C288" s="222"/>
      <c r="D288" s="222"/>
    </row>
    <row r="289" spans="3:4" ht="12.75">
      <c r="C289" s="222"/>
      <c r="D289" s="222"/>
    </row>
    <row r="290" spans="3:4" ht="12.75">
      <c r="C290" s="222"/>
      <c r="D290" s="222"/>
    </row>
    <row r="291" spans="3:4" ht="12.75">
      <c r="C291" s="222"/>
      <c r="D291" s="222"/>
    </row>
    <row r="292" spans="3:4" ht="12.75">
      <c r="C292" s="222"/>
      <c r="D292" s="222"/>
    </row>
    <row r="293" spans="3:4" ht="12.75">
      <c r="C293" s="222"/>
      <c r="D293" s="222"/>
    </row>
    <row r="294" spans="3:4" ht="12.75">
      <c r="C294" s="222"/>
      <c r="D294" s="222"/>
    </row>
    <row r="295" spans="3:4" ht="12.75">
      <c r="C295" s="222"/>
      <c r="D295" s="222"/>
    </row>
    <row r="296" spans="3:4" ht="12.75">
      <c r="C296" s="222"/>
      <c r="D296" s="222"/>
    </row>
    <row r="297" spans="3:4" ht="12.75">
      <c r="C297" s="222"/>
      <c r="D297" s="222"/>
    </row>
    <row r="298" spans="3:4" ht="12.75">
      <c r="C298" s="222"/>
      <c r="D298" s="222"/>
    </row>
    <row r="299" spans="3:4" ht="12.75">
      <c r="C299" s="222"/>
      <c r="D299" s="222"/>
    </row>
    <row r="300" spans="3:4" ht="12.75">
      <c r="C300" s="222"/>
      <c r="D300" s="222"/>
    </row>
    <row r="301" spans="3:4" ht="12.75">
      <c r="C301" s="222"/>
      <c r="D301" s="222"/>
    </row>
    <row r="302" spans="3:4" ht="12.75">
      <c r="C302" s="222"/>
      <c r="D302" s="222"/>
    </row>
    <row r="303" spans="3:4" ht="12.75">
      <c r="C303" s="222"/>
      <c r="D303" s="222"/>
    </row>
    <row r="304" spans="3:4" ht="12.75">
      <c r="C304" s="222"/>
      <c r="D304" s="222"/>
    </row>
    <row r="305" spans="3:4" ht="12.75">
      <c r="C305" s="222"/>
      <c r="D305" s="222"/>
    </row>
    <row r="306" spans="3:4" ht="12.75">
      <c r="C306" s="222"/>
      <c r="D306" s="222"/>
    </row>
    <row r="307" spans="3:4" ht="12.75">
      <c r="C307" s="222"/>
      <c r="D307" s="222"/>
    </row>
    <row r="308" spans="3:4" ht="12.75">
      <c r="C308" s="222"/>
      <c r="D308" s="222"/>
    </row>
    <row r="309" spans="3:4" ht="12.75">
      <c r="C309" s="222"/>
      <c r="D309" s="222"/>
    </row>
    <row r="310" spans="3:4" ht="12.75">
      <c r="C310" s="222"/>
      <c r="D310" s="222"/>
    </row>
    <row r="311" spans="3:4" ht="12.75">
      <c r="C311" s="222"/>
      <c r="D311" s="222"/>
    </row>
    <row r="312" spans="3:4" ht="12.75">
      <c r="C312" s="222"/>
      <c r="D312" s="222"/>
    </row>
    <row r="313" spans="3:4" ht="12.75">
      <c r="C313" s="222"/>
      <c r="D313" s="222"/>
    </row>
    <row r="314" spans="3:4" ht="12.75">
      <c r="C314" s="222"/>
      <c r="D314" s="222"/>
    </row>
    <row r="315" spans="3:4" ht="12.75">
      <c r="C315" s="222"/>
      <c r="D315" s="222"/>
    </row>
    <row r="316" spans="3:4" ht="12.75">
      <c r="C316" s="222"/>
      <c r="D316" s="222"/>
    </row>
    <row r="317" spans="3:4" ht="12.75">
      <c r="C317" s="222"/>
      <c r="D317" s="222"/>
    </row>
    <row r="318" spans="3:4" ht="12.75">
      <c r="C318" s="222"/>
      <c r="D318" s="222"/>
    </row>
    <row r="319" spans="3:4" ht="12.75">
      <c r="C319" s="222"/>
      <c r="D319" s="222"/>
    </row>
    <row r="320" spans="3:4" ht="12.75">
      <c r="C320" s="222"/>
      <c r="D320" s="222"/>
    </row>
    <row r="321" spans="3:4" ht="12.75">
      <c r="C321" s="222"/>
      <c r="D321" s="222"/>
    </row>
    <row r="322" spans="3:4" ht="12.75">
      <c r="C322" s="222"/>
      <c r="D322" s="222"/>
    </row>
    <row r="323" spans="3:4" ht="12.75">
      <c r="C323" s="222"/>
      <c r="D323" s="222"/>
    </row>
    <row r="324" spans="3:4" ht="12.75">
      <c r="C324" s="222"/>
      <c r="D324" s="222"/>
    </row>
    <row r="325" spans="3:4" ht="12.75">
      <c r="C325" s="222"/>
      <c r="D325" s="222"/>
    </row>
    <row r="326" spans="3:4" ht="12.75">
      <c r="C326" s="222"/>
      <c r="D326" s="222"/>
    </row>
    <row r="327" spans="3:4" ht="12.75">
      <c r="C327" s="222"/>
      <c r="D327" s="222"/>
    </row>
    <row r="328" spans="3:4" ht="12.75">
      <c r="C328" s="222"/>
      <c r="D328" s="222"/>
    </row>
    <row r="329" spans="3:4" ht="12.75">
      <c r="C329" s="222"/>
      <c r="D329" s="222"/>
    </row>
    <row r="330" spans="3:4" ht="12.75">
      <c r="C330" s="222"/>
      <c r="D330" s="222"/>
    </row>
    <row r="331" spans="3:4" ht="12.75">
      <c r="C331" s="222"/>
      <c r="D331" s="222"/>
    </row>
    <row r="332" spans="3:4" ht="12.75">
      <c r="C332" s="222"/>
      <c r="D332" s="222"/>
    </row>
    <row r="333" spans="3:4" ht="12.75">
      <c r="C333" s="222"/>
      <c r="D333" s="222"/>
    </row>
    <row r="334" spans="3:4" ht="12.75">
      <c r="C334" s="222"/>
      <c r="D334" s="222"/>
    </row>
    <row r="335" spans="3:4" ht="12.75">
      <c r="C335" s="222"/>
      <c r="D335" s="222"/>
    </row>
    <row r="336" spans="3:4" ht="12.75">
      <c r="C336" s="222"/>
      <c r="D336" s="222"/>
    </row>
    <row r="337" spans="3:4" ht="12.75">
      <c r="C337" s="222"/>
      <c r="D337" s="222"/>
    </row>
    <row r="338" spans="3:4" ht="12.75">
      <c r="C338" s="222"/>
      <c r="D338" s="222"/>
    </row>
    <row r="339" spans="3:4" ht="12.75">
      <c r="C339" s="222"/>
      <c r="D339" s="222"/>
    </row>
    <row r="340" spans="3:4" ht="12.75">
      <c r="C340" s="222"/>
      <c r="D340" s="222"/>
    </row>
    <row r="341" spans="3:4" ht="12.75">
      <c r="C341" s="222"/>
      <c r="D341" s="222"/>
    </row>
    <row r="342" spans="3:4" ht="12.75">
      <c r="C342" s="222"/>
      <c r="D342" s="222"/>
    </row>
    <row r="343" spans="3:4" ht="12.75">
      <c r="C343" s="222"/>
      <c r="D343" s="222"/>
    </row>
    <row r="344" spans="3:4" ht="12.75">
      <c r="C344" s="222"/>
      <c r="D344" s="222"/>
    </row>
    <row r="345" spans="3:4" ht="12.75">
      <c r="C345" s="222"/>
      <c r="D345" s="222"/>
    </row>
    <row r="346" spans="3:4" ht="12.75">
      <c r="C346" s="222"/>
      <c r="D346" s="222"/>
    </row>
    <row r="347" spans="3:4" ht="12.75">
      <c r="C347" s="222"/>
      <c r="D347" s="222"/>
    </row>
    <row r="348" spans="3:4" ht="12.75">
      <c r="C348" s="222"/>
      <c r="D348" s="222"/>
    </row>
    <row r="349" spans="3:4" ht="12.75">
      <c r="C349" s="222"/>
      <c r="D349" s="222"/>
    </row>
    <row r="350" spans="3:4" ht="12.75">
      <c r="C350" s="222"/>
      <c r="D350" s="222"/>
    </row>
    <row r="351" spans="3:4" ht="12.75">
      <c r="C351" s="222"/>
      <c r="D351" s="222"/>
    </row>
    <row r="352" spans="3:4" ht="12.75">
      <c r="C352" s="222"/>
      <c r="D352" s="222"/>
    </row>
    <row r="353" spans="3:4" ht="12.75">
      <c r="C353" s="222"/>
      <c r="D353" s="222"/>
    </row>
    <row r="354" spans="3:4" ht="12.75">
      <c r="C354" s="222"/>
      <c r="D354" s="222"/>
    </row>
    <row r="355" spans="3:4" ht="12.75">
      <c r="C355" s="222"/>
      <c r="D355" s="222"/>
    </row>
    <row r="356" spans="3:4" ht="12.75">
      <c r="C356" s="222"/>
      <c r="D356" s="222"/>
    </row>
    <row r="357" spans="3:4" ht="12.75">
      <c r="C357" s="222"/>
      <c r="D357" s="222"/>
    </row>
    <row r="358" spans="3:4" ht="12.75">
      <c r="C358" s="222"/>
      <c r="D358" s="222"/>
    </row>
    <row r="359" spans="3:4" ht="12.75">
      <c r="C359" s="222"/>
      <c r="D359" s="222"/>
    </row>
    <row r="360" spans="3:4" ht="12.75">
      <c r="C360" s="222"/>
      <c r="D360" s="222"/>
    </row>
    <row r="361" spans="3:4" ht="12.75">
      <c r="C361" s="222"/>
      <c r="D361" s="222"/>
    </row>
    <row r="362" spans="3:4" ht="12.75">
      <c r="C362" s="222"/>
      <c r="D362" s="222"/>
    </row>
    <row r="363" spans="3:4" ht="12.75">
      <c r="C363" s="222"/>
      <c r="D363" s="222"/>
    </row>
    <row r="364" spans="3:4" ht="12.75">
      <c r="C364" s="222"/>
      <c r="D364" s="222"/>
    </row>
    <row r="365" spans="3:4" ht="12.75">
      <c r="C365" s="222"/>
      <c r="D365" s="222"/>
    </row>
    <row r="366" spans="3:4" ht="12.75">
      <c r="C366" s="222"/>
      <c r="D366" s="222"/>
    </row>
  </sheetData>
  <sheetProtection password="DBD9" sheet="1" objects="1" scenarios="1"/>
  <mergeCells count="4">
    <mergeCell ref="M14:O14"/>
    <mergeCell ref="P14:R14"/>
    <mergeCell ref="S14:U14"/>
    <mergeCell ref="V14:X14"/>
  </mergeCells>
  <dataValidations count="13">
    <dataValidation type="list" allowBlank="1" showInputMessage="1" showErrorMessage="1" sqref="B16:B17">
      <formula1>$K$2:$K$6</formula1>
    </dataValidation>
    <dataValidation type="list" allowBlank="1" showInputMessage="1" showErrorMessage="1" sqref="B24">
      <formula1>$P$10:$P$12</formula1>
    </dataValidation>
    <dataValidation type="list" allowBlank="1" showDropDown="1" showInputMessage="1" showErrorMessage="1" sqref="B30 B44">
      <formula1>$K$2:$K$4</formula1>
    </dataValidation>
    <dataValidation type="list" allowBlank="1" showDropDown="1" showInputMessage="1" showErrorMessage="1" sqref="B46:B47 B32:B33">
      <formula1>$P$2:$P$6</formula1>
    </dataValidation>
    <dataValidation type="list" allowBlank="1" showDropDown="1" showInputMessage="1" showErrorMessage="1" sqref="B52 B38">
      <formula1>$P$10:$P$12</formula1>
    </dataValidation>
    <dataValidation type="list" allowBlank="1" showInputMessage="1" showErrorMessage="1" sqref="B23">
      <formula1>$W$8:$W$10</formula1>
    </dataValidation>
    <dataValidation type="list" allowBlank="1" showDropDown="1" showInputMessage="1" showErrorMessage="1" sqref="B51 B37">
      <formula1>$W$8:$W$10</formula1>
    </dataValidation>
    <dataValidation type="list" allowBlank="1" showDropDown="1" showInputMessage="1" showErrorMessage="1" sqref="B48 B34">
      <formula1>$K$5:$K$6</formula1>
    </dataValidation>
    <dataValidation type="list" allowBlank="1" showInputMessage="1" showErrorMessage="1" sqref="B18">
      <formula1>$K$8:$K$12</formula1>
    </dataValidation>
    <dataValidation type="list" allowBlank="1" showDropDown="1" showInputMessage="1" showErrorMessage="1" sqref="B31 B45">
      <formula1>$K$8:$K$10</formula1>
    </dataValidation>
    <dataValidation type="list" allowBlank="1" showDropDown="1" showInputMessage="1" showErrorMessage="1" sqref="B49 B35">
      <formula1>$K$11:$K$12</formula1>
    </dataValidation>
    <dataValidation type="list" allowBlank="1" showDropDown="1" showInputMessage="1" showErrorMessage="1" sqref="B50 B36">
      <formula1>$P$7:$P$8</formula1>
    </dataValidation>
    <dataValidation type="list" allowBlank="1" showInputMessage="1" showErrorMessage="1" sqref="B19:B22">
      <formula1>$P$2:$P$8</formula1>
    </dataValidation>
  </dataValidations>
  <printOptions/>
  <pageMargins left="0.3937007874015748" right="0.3937007874015748" top="0.9448818897637796" bottom="0.2362204724409449" header="0.5118110236220472" footer="0.31496062992125984"/>
  <pageSetup orientation="portrait" r:id="rId3"/>
  <headerFooter alignWithMargins="0">
    <oddHeader>&amp;L&amp;"Arial,Gras"Estimation des rejets
d'azote et de phosphore&amp;C&amp;"Arial,Gras"&amp;14Elevages&amp;RCorpen modifié
pour le Québec
</oddHeader>
    <oddFooter>&amp;L&amp;D&amp;R&amp;F -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B1:AE48"/>
  <sheetViews>
    <sheetView showGridLines="0" showRowColHeaders="0" showZeros="0" showOutlineSymbols="0" zoomScale="80" zoomScaleNormal="80" workbookViewId="0" topLeftCell="A1">
      <selection activeCell="C25" sqref="C25"/>
    </sheetView>
  </sheetViews>
  <sheetFormatPr defaultColWidth="11.421875" defaultRowHeight="12.75"/>
  <cols>
    <col min="1" max="1" width="3.8515625" style="0" customWidth="1"/>
    <col min="2" max="2" width="4.28125" style="0" customWidth="1"/>
    <col min="3" max="3" width="28.140625" style="0" customWidth="1"/>
    <col min="4" max="4" width="13.7109375" style="0" customWidth="1"/>
    <col min="10" max="16" width="11.421875" style="0" hidden="1" customWidth="1"/>
    <col min="17" max="17" width="23.140625" style="0" hidden="1" customWidth="1"/>
    <col min="18" max="25" width="11.421875" style="0" hidden="1" customWidth="1"/>
    <col min="26" max="26" width="29.28125" style="0" hidden="1" customWidth="1"/>
    <col min="27" max="31" width="11.421875" style="0" hidden="1" customWidth="1"/>
  </cols>
  <sheetData>
    <row r="1" spans="2:31" ht="15.75">
      <c r="B1" s="41"/>
      <c r="C1" s="41"/>
      <c r="D1" s="41"/>
      <c r="E1" s="41"/>
      <c r="F1" s="41"/>
      <c r="G1" s="41"/>
      <c r="H1" s="41"/>
      <c r="I1" s="41"/>
      <c r="J1" s="41"/>
      <c r="K1" s="41"/>
      <c r="Z1" s="441" t="s">
        <v>164</v>
      </c>
      <c r="AA1" s="441" t="s">
        <v>265</v>
      </c>
      <c r="AB1" s="67" t="s">
        <v>111</v>
      </c>
      <c r="AC1" s="442" t="s">
        <v>112</v>
      </c>
      <c r="AD1" s="422" t="s">
        <v>60</v>
      </c>
      <c r="AE1" s="43" t="s">
        <v>280</v>
      </c>
    </row>
    <row r="2" spans="2:31" ht="14.25">
      <c r="B2" s="41"/>
      <c r="C2" s="38" t="s">
        <v>14</v>
      </c>
      <c r="D2" s="106">
        <f>IF(Elevage!C2&lt;&gt;0,Elevage!C2,"")</f>
      </c>
      <c r="E2" s="25"/>
      <c r="F2" s="25"/>
      <c r="G2" s="26"/>
      <c r="I2" s="41"/>
      <c r="J2" s="41"/>
      <c r="K2" s="41"/>
      <c r="Z2" s="142" t="s">
        <v>274</v>
      </c>
      <c r="AA2" s="213" t="s">
        <v>266</v>
      </c>
      <c r="AB2" s="147" t="s">
        <v>42</v>
      </c>
      <c r="AC2" s="68" t="s">
        <v>114</v>
      </c>
      <c r="AD2" s="67" t="s">
        <v>114</v>
      </c>
      <c r="AE2" s="143" t="s">
        <v>114</v>
      </c>
    </row>
    <row r="3" spans="2:31" ht="12.75">
      <c r="B3" s="41"/>
      <c r="C3" s="39" t="s">
        <v>15</v>
      </c>
      <c r="D3" s="8">
        <f>IF(Elevage!D3&lt;&gt;0,Elevage!D3,"")</f>
      </c>
      <c r="E3" s="41"/>
      <c r="F3" s="41"/>
      <c r="G3" s="27"/>
      <c r="I3" s="41"/>
      <c r="J3" s="41"/>
      <c r="K3" s="41"/>
      <c r="Z3" t="s">
        <v>294</v>
      </c>
      <c r="AA3" s="245">
        <v>0</v>
      </c>
      <c r="AB3" s="245">
        <v>0</v>
      </c>
      <c r="AC3" s="245">
        <v>0</v>
      </c>
      <c r="AD3" s="245">
        <v>0</v>
      </c>
      <c r="AE3" s="245">
        <v>0</v>
      </c>
    </row>
    <row r="4" spans="2:31" ht="12.75">
      <c r="B4" s="41"/>
      <c r="C4" s="39"/>
      <c r="D4" s="8">
        <f>IF(Elevage!C4&lt;&gt;0,Elevage!C4,"")</f>
      </c>
      <c r="E4" s="41"/>
      <c r="F4" s="41"/>
      <c r="G4" s="27"/>
      <c r="J4" s="152" t="s">
        <v>79</v>
      </c>
      <c r="K4" s="153" t="s">
        <v>115</v>
      </c>
      <c r="L4" s="154" t="s">
        <v>111</v>
      </c>
      <c r="M4" s="154" t="s">
        <v>74</v>
      </c>
      <c r="N4" s="154" t="s">
        <v>75</v>
      </c>
      <c r="O4" s="154" t="s">
        <v>113</v>
      </c>
      <c r="Z4" t="s">
        <v>136</v>
      </c>
      <c r="AA4" s="245">
        <v>500</v>
      </c>
      <c r="AB4" s="392">
        <v>63.6</v>
      </c>
      <c r="AC4" s="392">
        <v>16.5</v>
      </c>
      <c r="AD4" s="392">
        <v>15</v>
      </c>
      <c r="AE4" s="392">
        <v>10.5</v>
      </c>
    </row>
    <row r="5" spans="2:31" ht="12.75">
      <c r="B5" s="41"/>
      <c r="C5" s="40"/>
      <c r="D5" s="107">
        <f>IF(Elevage!C5&lt;&gt;0,Elevage!C5,"")</f>
      </c>
      <c r="E5" s="28"/>
      <c r="F5" s="28"/>
      <c r="G5" s="16"/>
      <c r="J5" s="152" t="s">
        <v>116</v>
      </c>
      <c r="K5" s="154">
        <f>COUNTIF(D20:D24,"&gt;0")</f>
        <v>0</v>
      </c>
      <c r="L5" s="154">
        <f>IF($K18&gt;0,SUM(D20:D24)/$K18,0)</f>
        <v>0</v>
      </c>
      <c r="M5" s="154" t="e">
        <f>IF($J5&gt;0,SUM(#REF!)/$J5,0)</f>
        <v>#REF!</v>
      </c>
      <c r="N5" s="154" t="e">
        <f>IF($J5&gt;0,SUM(#REF!)/$J5,0)</f>
        <v>#REF!</v>
      </c>
      <c r="O5" s="154" t="e">
        <f>IF($J5&gt;0,SUM(#REF!)/$J5,0)</f>
        <v>#REF!</v>
      </c>
      <c r="Z5" t="s">
        <v>137</v>
      </c>
      <c r="AA5" s="245">
        <v>270</v>
      </c>
      <c r="AB5" s="392">
        <v>78</v>
      </c>
      <c r="AC5" s="392">
        <v>14.5</v>
      </c>
      <c r="AD5" s="392">
        <v>24.9</v>
      </c>
      <c r="AE5" s="392">
        <v>13.3</v>
      </c>
    </row>
    <row r="6" spans="2:31" ht="12.75">
      <c r="B6" s="41"/>
      <c r="C6" s="41"/>
      <c r="D6" s="41"/>
      <c r="E6" s="41"/>
      <c r="F6" s="41"/>
      <c r="G6" s="41"/>
      <c r="H6" s="41"/>
      <c r="O6" t="s">
        <v>197</v>
      </c>
      <c r="Z6" t="s">
        <v>297</v>
      </c>
      <c r="AA6" s="245">
        <v>272</v>
      </c>
      <c r="AB6" s="392">
        <v>81.8</v>
      </c>
      <c r="AC6" s="392">
        <v>15.3</v>
      </c>
      <c r="AD6" s="392">
        <v>25.4</v>
      </c>
      <c r="AE6" s="392">
        <v>13.8</v>
      </c>
    </row>
    <row r="7" spans="2:31" ht="12.75">
      <c r="B7" s="41"/>
      <c r="C7" s="41"/>
      <c r="D7" s="41"/>
      <c r="E7" s="41"/>
      <c r="F7" s="41"/>
      <c r="G7" s="41"/>
      <c r="H7" s="41"/>
      <c r="O7" t="s">
        <v>198</v>
      </c>
      <c r="Z7" t="s">
        <v>298</v>
      </c>
      <c r="AA7" s="245">
        <v>270</v>
      </c>
      <c r="AB7" s="392">
        <v>78.3</v>
      </c>
      <c r="AC7" s="392">
        <v>14.6</v>
      </c>
      <c r="AD7" s="392">
        <v>24.9</v>
      </c>
      <c r="AE7" s="392">
        <v>13.6</v>
      </c>
    </row>
    <row r="8" spans="2:31" ht="12.75">
      <c r="B8" s="41"/>
      <c r="C8" s="41"/>
      <c r="D8" s="41"/>
      <c r="E8" s="41"/>
      <c r="F8" s="41"/>
      <c r="G8" s="41"/>
      <c r="H8" s="41"/>
      <c r="Z8" t="s">
        <v>299</v>
      </c>
      <c r="AA8" s="245">
        <v>600</v>
      </c>
      <c r="AB8" s="392">
        <v>70</v>
      </c>
      <c r="AC8" s="392">
        <v>26.6</v>
      </c>
      <c r="AD8" s="392">
        <v>33.3</v>
      </c>
      <c r="AE8" s="392">
        <v>19.6</v>
      </c>
    </row>
    <row r="9" spans="2:31" ht="12.75">
      <c r="B9" s="41"/>
      <c r="C9" s="41"/>
      <c r="D9" s="41"/>
      <c r="E9" s="41"/>
      <c r="F9" s="41"/>
      <c r="G9" s="41"/>
      <c r="H9" s="41"/>
      <c r="M9" s="245"/>
      <c r="N9" s="245"/>
      <c r="Z9" t="s">
        <v>139</v>
      </c>
      <c r="AA9" s="245">
        <v>480</v>
      </c>
      <c r="AB9" s="392">
        <v>56</v>
      </c>
      <c r="AC9" s="392">
        <v>11.9</v>
      </c>
      <c r="AD9" s="392">
        <v>30.5</v>
      </c>
      <c r="AE9" s="392">
        <v>18</v>
      </c>
    </row>
    <row r="10" spans="2:31" ht="12.75">
      <c r="B10" s="41"/>
      <c r="C10" s="41"/>
      <c r="D10" s="52"/>
      <c r="E10" s="41"/>
      <c r="F10" s="41"/>
      <c r="G10" s="41"/>
      <c r="H10" s="41"/>
      <c r="Z10" t="s">
        <v>291</v>
      </c>
      <c r="AA10" s="245">
        <v>273</v>
      </c>
      <c r="AB10" s="392">
        <v>74.2</v>
      </c>
      <c r="AC10" s="392">
        <v>28.7</v>
      </c>
      <c r="AD10" s="392">
        <v>23.8</v>
      </c>
      <c r="AE10" s="392">
        <v>18</v>
      </c>
    </row>
    <row r="11" spans="2:31" ht="12.75">
      <c r="B11" s="41"/>
      <c r="C11" s="41"/>
      <c r="D11" s="41"/>
      <c r="E11" s="41"/>
      <c r="F11" s="41"/>
      <c r="G11" s="41"/>
      <c r="H11" s="41"/>
      <c r="M11" s="186"/>
      <c r="N11" s="186"/>
      <c r="Z11" t="s">
        <v>292</v>
      </c>
      <c r="AA11" s="245">
        <v>274</v>
      </c>
      <c r="AB11" s="392">
        <v>74.4</v>
      </c>
      <c r="AC11" s="392">
        <v>27.8</v>
      </c>
      <c r="AD11" s="392">
        <v>23.1</v>
      </c>
      <c r="AE11" s="392">
        <v>18</v>
      </c>
    </row>
    <row r="12" spans="2:31" ht="12.75">
      <c r="B12" s="41"/>
      <c r="C12" s="41"/>
      <c r="D12" s="41"/>
      <c r="E12" s="41"/>
      <c r="F12" s="41"/>
      <c r="G12" s="41"/>
      <c r="H12" s="41"/>
      <c r="Z12" t="s">
        <v>140</v>
      </c>
      <c r="AA12" s="245">
        <v>322</v>
      </c>
      <c r="AB12" s="392">
        <v>74.4</v>
      </c>
      <c r="AC12" s="392">
        <v>29.8</v>
      </c>
      <c r="AD12" s="392">
        <v>31.3</v>
      </c>
      <c r="AE12" s="392">
        <v>23.1</v>
      </c>
    </row>
    <row r="13" spans="2:31" ht="12.75">
      <c r="B13" s="41"/>
      <c r="C13" s="41"/>
      <c r="D13" s="368"/>
      <c r="E13" s="41"/>
      <c r="F13" s="41"/>
      <c r="G13" s="41"/>
      <c r="H13" s="41"/>
      <c r="Z13" t="s">
        <v>143</v>
      </c>
      <c r="AA13" s="245">
        <v>344</v>
      </c>
      <c r="AB13" s="392">
        <v>71</v>
      </c>
      <c r="AC13" s="392">
        <v>23.2</v>
      </c>
      <c r="AD13" s="392">
        <v>23.8</v>
      </c>
      <c r="AE13" s="392">
        <v>16.8</v>
      </c>
    </row>
    <row r="14" spans="2:31" ht="12.75">
      <c r="B14" s="41"/>
      <c r="C14" s="41"/>
      <c r="D14" s="41"/>
      <c r="E14" s="41"/>
      <c r="F14" s="41"/>
      <c r="G14" s="41"/>
      <c r="H14" s="41"/>
      <c r="Z14" t="s">
        <v>144</v>
      </c>
      <c r="AA14" s="245">
        <v>423</v>
      </c>
      <c r="AB14" s="392">
        <v>71</v>
      </c>
      <c r="AC14" s="392">
        <v>23.2</v>
      </c>
      <c r="AD14" s="392">
        <v>23.8</v>
      </c>
      <c r="AE14" s="392">
        <v>16.8</v>
      </c>
    </row>
    <row r="15" spans="2:31" ht="12.75">
      <c r="B15" s="41"/>
      <c r="C15" s="41"/>
      <c r="D15" s="41"/>
      <c r="E15" s="41"/>
      <c r="F15" s="41"/>
      <c r="G15" s="41"/>
      <c r="H15" s="41"/>
      <c r="Z15" s="445" t="s">
        <v>300</v>
      </c>
      <c r="AA15" s="245">
        <v>274</v>
      </c>
      <c r="AB15" s="392">
        <v>74.3</v>
      </c>
      <c r="AC15" s="392">
        <v>28.2</v>
      </c>
      <c r="AD15" s="392">
        <v>23.4</v>
      </c>
      <c r="AE15" s="392">
        <v>18</v>
      </c>
    </row>
    <row r="16" spans="2:31" ht="15.75">
      <c r="B16" s="41"/>
      <c r="C16" s="66" t="s">
        <v>107</v>
      </c>
      <c r="D16" s="441" t="s">
        <v>109</v>
      </c>
      <c r="E16" s="441" t="s">
        <v>265</v>
      </c>
      <c r="F16" s="67" t="s">
        <v>111</v>
      </c>
      <c r="G16" s="442" t="s">
        <v>112</v>
      </c>
      <c r="H16" s="422" t="s">
        <v>60</v>
      </c>
      <c r="I16" s="43" t="s">
        <v>280</v>
      </c>
      <c r="Z16" t="s">
        <v>295</v>
      </c>
      <c r="AA16" s="245">
        <v>283</v>
      </c>
      <c r="AB16" s="392">
        <v>74.3</v>
      </c>
      <c r="AC16" s="392">
        <v>28.6</v>
      </c>
      <c r="AD16" s="392">
        <v>25.2</v>
      </c>
      <c r="AE16" s="392">
        <v>19.2</v>
      </c>
    </row>
    <row r="17" spans="2:31" ht="14.25">
      <c r="B17" s="41"/>
      <c r="C17" s="62"/>
      <c r="D17" s="142"/>
      <c r="E17" s="213" t="s">
        <v>266</v>
      </c>
      <c r="F17" s="147" t="s">
        <v>42</v>
      </c>
      <c r="G17" s="68" t="s">
        <v>114</v>
      </c>
      <c r="H17" s="67" t="s">
        <v>114</v>
      </c>
      <c r="I17" s="143" t="s">
        <v>114</v>
      </c>
      <c r="J17" s="68" t="s">
        <v>265</v>
      </c>
      <c r="K17" s="253" t="s">
        <v>124</v>
      </c>
      <c r="L17" s="253" t="s">
        <v>74</v>
      </c>
      <c r="M17" s="253" t="s">
        <v>75</v>
      </c>
      <c r="N17" s="253" t="s">
        <v>113</v>
      </c>
      <c r="O17" s="329" t="s">
        <v>204</v>
      </c>
      <c r="Z17" s="445" t="s">
        <v>301</v>
      </c>
      <c r="AA17" s="245">
        <v>410</v>
      </c>
      <c r="AB17" s="392">
        <v>60.9</v>
      </c>
      <c r="AC17" s="392">
        <v>12.5</v>
      </c>
      <c r="AD17" s="392">
        <v>29.3</v>
      </c>
      <c r="AE17" s="392">
        <v>17</v>
      </c>
    </row>
    <row r="18" spans="2:31" ht="12.75">
      <c r="B18" s="41"/>
      <c r="C18" s="65" t="s">
        <v>108</v>
      </c>
      <c r="D18" s="184">
        <f>SUM(D20:D24)</f>
        <v>0</v>
      </c>
      <c r="E18" s="387">
        <f>IF($D18&lt;&gt;0,J18/($D18),"")</f>
      </c>
      <c r="F18" s="185">
        <f>IF($D18&lt;&gt;0,K18/($D18*E18)*100,"")</f>
      </c>
      <c r="G18" s="185">
        <f>IF($D18&lt;&gt;0,L18/$O18,"")</f>
      </c>
      <c r="H18" s="185">
        <f>IF($D18&lt;&gt;0,M18/$O18,"")</f>
      </c>
      <c r="I18" s="130">
        <f>IF($D18&lt;&gt;0,N18/$O18,"")</f>
      </c>
      <c r="J18" s="254">
        <f aca="true" t="shared" si="0" ref="J18:O18">SUM(J20:J24)</f>
        <v>0</v>
      </c>
      <c r="K18" s="254">
        <f t="shared" si="0"/>
        <v>0</v>
      </c>
      <c r="L18" s="254">
        <f t="shared" si="0"/>
        <v>0</v>
      </c>
      <c r="M18" s="254">
        <f t="shared" si="0"/>
        <v>0</v>
      </c>
      <c r="N18" s="254">
        <f t="shared" si="0"/>
        <v>0</v>
      </c>
      <c r="O18" s="330">
        <f t="shared" si="0"/>
        <v>0</v>
      </c>
      <c r="Z18" s="444" t="s">
        <v>302</v>
      </c>
      <c r="AA18" s="245">
        <v>567</v>
      </c>
      <c r="AB18" s="392">
        <v>68.1</v>
      </c>
      <c r="AC18" s="392">
        <v>23.6</v>
      </c>
      <c r="AD18" s="392">
        <v>27.9</v>
      </c>
      <c r="AE18" s="392">
        <v>16.9</v>
      </c>
    </row>
    <row r="19" spans="2:31" ht="12.75">
      <c r="B19" s="41"/>
      <c r="C19" s="65" t="s">
        <v>110</v>
      </c>
      <c r="D19" s="144"/>
      <c r="E19" s="144"/>
      <c r="F19" s="148"/>
      <c r="G19" s="145"/>
      <c r="H19" s="145"/>
      <c r="I19" s="146"/>
      <c r="J19" s="145"/>
      <c r="K19" s="83"/>
      <c r="L19" s="83"/>
      <c r="M19" s="83"/>
      <c r="N19" s="83"/>
      <c r="O19" s="329"/>
      <c r="Z19" t="s">
        <v>303</v>
      </c>
      <c r="AA19" s="245">
        <v>500</v>
      </c>
      <c r="AB19" s="392">
        <v>72.1</v>
      </c>
      <c r="AC19" s="392">
        <v>26.2</v>
      </c>
      <c r="AD19" s="392">
        <v>25</v>
      </c>
      <c r="AE19" s="392">
        <v>15.5</v>
      </c>
    </row>
    <row r="20" spans="2:31" ht="12.75">
      <c r="B20" s="41"/>
      <c r="C20" s="157" t="s">
        <v>135</v>
      </c>
      <c r="D20" s="251"/>
      <c r="E20" s="251"/>
      <c r="F20" s="196"/>
      <c r="G20" s="155"/>
      <c r="H20" s="155"/>
      <c r="I20" s="156"/>
      <c r="J20" s="386">
        <f>IF($D20&lt;&gt;0,+E20*D20,"")</f>
      </c>
      <c r="K20" s="255">
        <f>IF($D20&lt;&gt;0,+F20/100*$D20*E20,"")</f>
      </c>
      <c r="L20" s="255">
        <f>IF($D20&lt;&gt;0,$D20*E20*G20/1000,"")</f>
      </c>
      <c r="M20" s="255">
        <f>IF($D20&lt;&gt;0,$D20*E20*H20/1000,"")</f>
      </c>
      <c r="N20" s="255">
        <f>IF($D20&lt;&gt;0,$D20*$E20*I20/1000,"")</f>
      </c>
      <c r="O20" s="329">
        <f aca="true" t="shared" si="1" ref="O20:O25">D20*E20/1000</f>
        <v>0</v>
      </c>
      <c r="Z20" t="s">
        <v>307</v>
      </c>
      <c r="AA20" s="245">
        <v>500</v>
      </c>
      <c r="AB20" s="392">
        <v>72.1</v>
      </c>
      <c r="AC20" s="392">
        <v>26.2</v>
      </c>
      <c r="AD20" s="392">
        <v>25</v>
      </c>
      <c r="AE20" s="392">
        <v>15.5</v>
      </c>
    </row>
    <row r="21" spans="2:31" ht="12.75">
      <c r="B21" s="41"/>
      <c r="C21" s="157"/>
      <c r="D21" s="251"/>
      <c r="E21" s="448"/>
      <c r="F21" s="451"/>
      <c r="G21" s="449"/>
      <c r="H21" s="449"/>
      <c r="I21" s="450"/>
      <c r="J21" s="386">
        <f>IF($D21&lt;&gt;0,+E21*D21,"")</f>
      </c>
      <c r="K21" s="255">
        <f>IF($D21&lt;&gt;0,+F21/100*$D21*E21,"")</f>
      </c>
      <c r="L21" s="255">
        <f>IF($D21&lt;&gt;0,$D21*E21*G21/1000,"")</f>
      </c>
      <c r="M21" s="255">
        <f>IF($D21&lt;&gt;0,$D21*E21*H21/1000,"")</f>
      </c>
      <c r="N21" s="255">
        <f>IF($D21&lt;&gt;0,$D21*$E21*I21/1000,"")</f>
      </c>
      <c r="O21" s="329">
        <f t="shared" si="1"/>
        <v>0</v>
      </c>
      <c r="Z21" t="s">
        <v>308</v>
      </c>
      <c r="AA21" s="245">
        <v>500</v>
      </c>
      <c r="AB21" s="392">
        <v>72.1</v>
      </c>
      <c r="AC21" s="392">
        <v>26.2</v>
      </c>
      <c r="AD21" s="392">
        <v>25</v>
      </c>
      <c r="AE21" s="392">
        <v>15.5</v>
      </c>
    </row>
    <row r="22" spans="2:31" ht="12.75">
      <c r="B22" s="41"/>
      <c r="C22" s="157"/>
      <c r="D22" s="251"/>
      <c r="E22" s="446"/>
      <c r="F22" s="452"/>
      <c r="G22" s="447"/>
      <c r="H22" s="447"/>
      <c r="I22" s="443"/>
      <c r="J22" s="386">
        <f>IF($D22&lt;&gt;0,+E22*D22,"")</f>
      </c>
      <c r="K22" s="255">
        <f>IF($D22&lt;&gt;0,+F22/100*$D22*E22,"")</f>
      </c>
      <c r="L22" s="255">
        <f>IF($D22&lt;&gt;0,$D22*E22*G22/1000,"")</f>
      </c>
      <c r="M22" s="255">
        <f>IF($D22&lt;&gt;0,$D22*E22*H22/1000,"")</f>
      </c>
      <c r="N22" s="255">
        <f>IF($D22&lt;&gt;0,$D22*$E22*I22/1000,"")</f>
      </c>
      <c r="O22" s="329">
        <f t="shared" si="1"/>
        <v>0</v>
      </c>
      <c r="W22" s="245"/>
      <c r="Z22" t="s">
        <v>304</v>
      </c>
      <c r="AA22" s="245">
        <v>500</v>
      </c>
      <c r="AB22" s="392">
        <v>72.1</v>
      </c>
      <c r="AC22" s="392">
        <v>26.2</v>
      </c>
      <c r="AD22" s="392">
        <v>25</v>
      </c>
      <c r="AE22" s="392">
        <v>15.5</v>
      </c>
    </row>
    <row r="23" spans="2:31" ht="12.75">
      <c r="B23" s="41"/>
      <c r="C23" s="157"/>
      <c r="D23" s="251">
        <v>0</v>
      </c>
      <c r="E23" s="251"/>
      <c r="F23" s="196">
        <v>0</v>
      </c>
      <c r="G23" s="155"/>
      <c r="H23" s="155">
        <v>0</v>
      </c>
      <c r="I23" s="156">
        <v>0</v>
      </c>
      <c r="J23" s="386">
        <f>IF($D23&lt;&gt;0,+E23*D23,"")</f>
      </c>
      <c r="K23" s="255">
        <f>IF($D23&lt;&gt;0,+F23/100*$D23*E23,"")</f>
      </c>
      <c r="L23" s="255">
        <f>IF($D23&lt;&gt;0,$D23*E23*G23/1000,"")</f>
      </c>
      <c r="M23" s="255">
        <f>IF($D23&lt;&gt;0,$D23*E23*H23/1000,"")</f>
      </c>
      <c r="N23" s="255">
        <f>IF($D23&lt;&gt;0,$D23*$E23*I23/1000,"")</f>
      </c>
      <c r="O23" s="329">
        <f t="shared" si="1"/>
        <v>0</v>
      </c>
      <c r="Z23" t="s">
        <v>309</v>
      </c>
      <c r="AA23" s="245">
        <v>500</v>
      </c>
      <c r="AB23" s="392">
        <v>72.1</v>
      </c>
      <c r="AC23" s="392">
        <v>26.2</v>
      </c>
      <c r="AD23" s="392">
        <v>25</v>
      </c>
      <c r="AE23" s="392">
        <v>15.5</v>
      </c>
    </row>
    <row r="24" spans="2:31" ht="12.75">
      <c r="B24" s="41"/>
      <c r="C24" s="158"/>
      <c r="D24" s="252">
        <v>0</v>
      </c>
      <c r="E24" s="252"/>
      <c r="F24" s="197">
        <v>0</v>
      </c>
      <c r="G24" s="155"/>
      <c r="H24" s="454"/>
      <c r="I24" s="156"/>
      <c r="J24" s="386">
        <f>IF($D24&lt;&gt;0,+E24*D24,"")</f>
      </c>
      <c r="K24" s="255">
        <f>IF($D24&lt;&gt;0,+F24/100*$D24*E24,"")</f>
      </c>
      <c r="L24" s="255">
        <f>IF($D24&lt;&gt;0,$D24*E24*G24/1000,"")</f>
      </c>
      <c r="M24" s="255">
        <f>IF($D24&lt;&gt;0,$D24*E24*H24/1000,"")</f>
      </c>
      <c r="N24" s="255">
        <f>IF($D24&lt;&gt;0,$D24*$E24*I24/1000,"")</f>
      </c>
      <c r="O24" s="329">
        <f t="shared" si="1"/>
        <v>0</v>
      </c>
      <c r="Z24" t="s">
        <v>310</v>
      </c>
      <c r="AA24" s="245">
        <v>500</v>
      </c>
      <c r="AB24" s="392">
        <v>72.1</v>
      </c>
      <c r="AC24" s="392">
        <v>26.2</v>
      </c>
      <c r="AD24" s="392">
        <v>25</v>
      </c>
      <c r="AE24" s="392">
        <v>15.5</v>
      </c>
    </row>
    <row r="25" spans="2:31" ht="12.75">
      <c r="B25" s="41"/>
      <c r="C25" s="189" t="s">
        <v>294</v>
      </c>
      <c r="D25" s="195">
        <f>(Elevage!C16*Elevage!E16*Elevage!F16*Elevage!G16+Elevage!C17*Elevage!E17*Elevage!F17*Elevage!G17+Elevage!C18*Elevage!E18*Elevage!F18*Elevage!G18+Elevage!C19*Elevage!E19*Elevage!F19*Elevage!G19+Elevage!C20*Elevage!D20*Elevage!E20*Elevage!F20+Elevage!C21*Elevage!D21*Elevage!E21*Elevage!F21+Elevage!C22*Elevage!G22*Elevage!E22*Elevage!F22+Elevage!C23*Elevage!E23*Elevage!F23*Elevage!G23+Elevage!C24*Elevage!E24*Elevage!F24*Elevage!G24+Elevage!C25*Elevage!D25*Elevage!E25*Elevage!F25)/1000</f>
        <v>0</v>
      </c>
      <c r="E25" s="453">
        <f>VLOOKUP($C25,$Z3:$AE34,2,FALSE)</f>
        <v>0</v>
      </c>
      <c r="F25" s="455">
        <f>VLOOKUP($C25,$Z3:$AE34,3,FALSE)</f>
        <v>0</v>
      </c>
      <c r="G25" s="456">
        <f>VLOOKUP($C25,$Z3:$AE34,4,FALSE)</f>
        <v>0</v>
      </c>
      <c r="H25" s="457">
        <f>VLOOKUP($C25,$Z3:$AE34,5,FALSE)</f>
        <v>0</v>
      </c>
      <c r="I25" s="458">
        <f>VLOOKUP($C25,$Z3:$AE34,6,FALSE)</f>
        <v>0</v>
      </c>
      <c r="J25" s="386">
        <f>$D25*E25</f>
        <v>0</v>
      </c>
      <c r="K25" s="255">
        <f>$D25*E25*F25/100</f>
        <v>0</v>
      </c>
      <c r="L25" s="255">
        <f>G25*O25</f>
        <v>0</v>
      </c>
      <c r="M25" s="255">
        <f>H25*O25</f>
        <v>0</v>
      </c>
      <c r="N25" s="255">
        <f>I25*O25</f>
        <v>0</v>
      </c>
      <c r="O25" s="83">
        <f t="shared" si="1"/>
        <v>0</v>
      </c>
      <c r="Z25" t="s">
        <v>305</v>
      </c>
      <c r="AA25" s="245">
        <v>400</v>
      </c>
      <c r="AB25" s="392">
        <v>72.1</v>
      </c>
      <c r="AC25" s="392">
        <v>26.2</v>
      </c>
      <c r="AD25" s="392">
        <v>25</v>
      </c>
      <c r="AE25" s="392">
        <v>15.5</v>
      </c>
    </row>
    <row r="26" spans="2:31" ht="12.75">
      <c r="B26" s="41"/>
      <c r="C26" s="158" t="s">
        <v>293</v>
      </c>
      <c r="D26" s="464"/>
      <c r="E26" s="459"/>
      <c r="F26" s="461"/>
      <c r="G26" s="155"/>
      <c r="H26" s="463"/>
      <c r="I26" s="460"/>
      <c r="J26" s="186"/>
      <c r="K26" s="186"/>
      <c r="L26" s="186"/>
      <c r="Z26" t="s">
        <v>306</v>
      </c>
      <c r="AA26" s="245">
        <v>435</v>
      </c>
      <c r="AB26" s="392">
        <v>72.1</v>
      </c>
      <c r="AC26" s="392">
        <v>26.2</v>
      </c>
      <c r="AD26" s="392">
        <v>25</v>
      </c>
      <c r="AE26" s="392">
        <v>15.5</v>
      </c>
    </row>
    <row r="27" spans="2:31" ht="12.75">
      <c r="B27" s="41"/>
      <c r="C27" s="62"/>
      <c r="D27" s="62"/>
      <c r="E27" s="139"/>
      <c r="F27" s="139"/>
      <c r="G27" s="139"/>
      <c r="H27" s="139"/>
      <c r="I27" s="186"/>
      <c r="J27" s="186"/>
      <c r="K27" s="186"/>
      <c r="L27" s="186"/>
      <c r="Z27" t="s">
        <v>271</v>
      </c>
      <c r="AA27" s="245">
        <v>486</v>
      </c>
      <c r="AB27" s="392">
        <v>72.1</v>
      </c>
      <c r="AC27" s="392">
        <v>26.2</v>
      </c>
      <c r="AD27" s="392">
        <v>25</v>
      </c>
      <c r="AE27" s="392">
        <v>15.5</v>
      </c>
    </row>
    <row r="28" spans="2:31" ht="12.75">
      <c r="B28" s="62"/>
      <c r="C28" s="345" t="s">
        <v>225</v>
      </c>
      <c r="D28" s="346"/>
      <c r="E28" s="188"/>
      <c r="F28" s="188"/>
      <c r="G28" s="188"/>
      <c r="H28" s="188"/>
      <c r="I28" s="186"/>
      <c r="J28" s="186"/>
      <c r="K28" s="186"/>
      <c r="L28" s="186"/>
      <c r="V28" s="245"/>
      <c r="W28" s="245"/>
      <c r="Z28" t="s">
        <v>311</v>
      </c>
      <c r="AA28" s="245">
        <v>500</v>
      </c>
      <c r="AB28" s="392">
        <v>72.1</v>
      </c>
      <c r="AC28" s="392">
        <v>26.2</v>
      </c>
      <c r="AD28" s="392">
        <v>25</v>
      </c>
      <c r="AE28" s="392">
        <v>15.5</v>
      </c>
    </row>
    <row r="29" spans="2:31" ht="12.75">
      <c r="B29" s="62"/>
      <c r="C29" s="243"/>
      <c r="D29" s="347"/>
      <c r="E29" s="348"/>
      <c r="F29" s="348"/>
      <c r="G29" s="348"/>
      <c r="H29" s="348"/>
      <c r="I29" s="186"/>
      <c r="J29" s="186"/>
      <c r="K29" s="186"/>
      <c r="L29" s="186"/>
      <c r="V29" s="245"/>
      <c r="W29" s="245"/>
      <c r="Z29" t="s">
        <v>312</v>
      </c>
      <c r="AA29" s="245">
        <v>500</v>
      </c>
      <c r="AB29" s="392">
        <v>72.1</v>
      </c>
      <c r="AC29" s="392">
        <v>26.2</v>
      </c>
      <c r="AD29" s="392">
        <v>25</v>
      </c>
      <c r="AE29" s="392">
        <v>15.5</v>
      </c>
    </row>
    <row r="30" spans="2:31" ht="12.75">
      <c r="B30" s="62"/>
      <c r="C30" s="349" t="s">
        <v>226</v>
      </c>
      <c r="D30" s="350" t="s">
        <v>227</v>
      </c>
      <c r="E30" s="351" t="s">
        <v>199</v>
      </c>
      <c r="F30" s="75" t="s">
        <v>201</v>
      </c>
      <c r="G30" s="68" t="s">
        <v>200</v>
      </c>
      <c r="H30" s="381" t="s">
        <v>257</v>
      </c>
      <c r="I30" s="385"/>
      <c r="K30" s="245" t="s">
        <v>228</v>
      </c>
      <c r="L30" s="245" t="s">
        <v>229</v>
      </c>
      <c r="M30" s="352" t="s">
        <v>230</v>
      </c>
      <c r="N30" s="352" t="s">
        <v>199</v>
      </c>
      <c r="O30" s="352" t="s">
        <v>201</v>
      </c>
      <c r="P30" s="353" t="s">
        <v>226</v>
      </c>
      <c r="Q30" s="186" t="s">
        <v>227</v>
      </c>
      <c r="R30" s="186"/>
      <c r="S30" s="354" t="s">
        <v>199</v>
      </c>
      <c r="T30" s="354" t="s">
        <v>201</v>
      </c>
      <c r="V30" s="354" t="s">
        <v>201</v>
      </c>
      <c r="W30" s="354" t="s">
        <v>231</v>
      </c>
      <c r="X30" s="354" t="s">
        <v>156</v>
      </c>
      <c r="Y30" s="354" t="s">
        <v>232</v>
      </c>
      <c r="Z30" s="462" t="s">
        <v>313</v>
      </c>
      <c r="AA30" s="245">
        <v>500</v>
      </c>
      <c r="AB30" s="392">
        <v>60</v>
      </c>
      <c r="AC30" s="392">
        <v>26.2</v>
      </c>
      <c r="AD30" s="392">
        <v>25</v>
      </c>
      <c r="AE30" s="392">
        <v>15.5</v>
      </c>
    </row>
    <row r="31" spans="2:31" ht="12.75">
      <c r="B31" s="62"/>
      <c r="C31" s="355"/>
      <c r="D31" s="356"/>
      <c r="E31" s="357" t="s">
        <v>202</v>
      </c>
      <c r="F31" s="74" t="s">
        <v>75</v>
      </c>
      <c r="G31" s="358" t="s">
        <v>202</v>
      </c>
      <c r="H31" s="382" t="s">
        <v>256</v>
      </c>
      <c r="I31" s="385"/>
      <c r="K31" s="245"/>
      <c r="L31" s="245"/>
      <c r="M31" s="245"/>
      <c r="N31" s="245"/>
      <c r="O31" s="245"/>
      <c r="P31" s="186" t="s">
        <v>233</v>
      </c>
      <c r="Q31" s="186" t="s">
        <v>234</v>
      </c>
      <c r="R31" s="186"/>
      <c r="S31" s="354" t="s">
        <v>235</v>
      </c>
      <c r="T31" s="359" t="s">
        <v>236</v>
      </c>
      <c r="U31" s="354" t="s">
        <v>235</v>
      </c>
      <c r="W31" s="245">
        <v>120</v>
      </c>
      <c r="X31" s="245">
        <v>10</v>
      </c>
      <c r="Y31" s="245">
        <v>20</v>
      </c>
      <c r="Z31" t="s">
        <v>314</v>
      </c>
      <c r="AA31" s="245">
        <v>500</v>
      </c>
      <c r="AB31" s="392">
        <v>60</v>
      </c>
      <c r="AC31" s="392">
        <v>26.2</v>
      </c>
      <c r="AD31" s="392">
        <v>25</v>
      </c>
      <c r="AE31" s="392">
        <v>15.5</v>
      </c>
    </row>
    <row r="32" spans="2:31" ht="12.75">
      <c r="B32" s="62"/>
      <c r="C32" s="360" t="s">
        <v>233</v>
      </c>
      <c r="D32" s="361" t="s">
        <v>234</v>
      </c>
      <c r="E32" s="252" t="s">
        <v>235</v>
      </c>
      <c r="F32" s="362" t="s">
        <v>236</v>
      </c>
      <c r="G32" s="321">
        <v>5</v>
      </c>
      <c r="H32" s="380">
        <f aca="true" t="shared" si="2" ref="H32:H40">IF(C32&lt;&gt;"",K32,0)</f>
        <v>160</v>
      </c>
      <c r="I32" s="385"/>
      <c r="J32" s="245">
        <f aca="true" t="shared" si="3" ref="J32:J40">K32*G32/100</f>
        <v>8</v>
      </c>
      <c r="K32" s="245">
        <f aca="true" t="shared" si="4" ref="K32:K40">SUM(L32:O32)</f>
        <v>160</v>
      </c>
      <c r="L32" s="245">
        <f aca="true" t="shared" si="5" ref="L32:L40">IF(C32=P$31,20,0)</f>
        <v>20</v>
      </c>
      <c r="M32" s="245">
        <f aca="true" t="shared" si="6" ref="M32:M40">IF(D32=Q$31,20,IF(D32=Q$32,10,0))</f>
        <v>20</v>
      </c>
      <c r="N32" s="245">
        <f aca="true" t="shared" si="7" ref="N32:N40">IF(E32&lt;&gt;"",VLOOKUP(E32,U$31:W$41,3,FALSE)," ")</f>
        <v>120</v>
      </c>
      <c r="O32" s="245">
        <f aca="true" t="shared" si="8" ref="O32:O40">IF(AND(F32=V$37,E32=S$36),-15,IF(AND(F32=V$38,E32=U$36),-40,IF(AND(E32=U$39,F32=V$38),-15,0)))</f>
        <v>0</v>
      </c>
      <c r="P32" s="320" t="s">
        <v>237</v>
      </c>
      <c r="Q32" s="245" t="s">
        <v>238</v>
      </c>
      <c r="S32" s="245" t="s">
        <v>239</v>
      </c>
      <c r="T32" s="245" t="s">
        <v>240</v>
      </c>
      <c r="U32" s="245" t="s">
        <v>239</v>
      </c>
      <c r="W32" s="245">
        <v>110</v>
      </c>
      <c r="X32" s="245">
        <v>10</v>
      </c>
      <c r="Y32" s="245">
        <v>20</v>
      </c>
      <c r="Z32" t="s">
        <v>315</v>
      </c>
      <c r="AA32" s="245">
        <v>500</v>
      </c>
      <c r="AB32" s="392">
        <v>56</v>
      </c>
      <c r="AC32" s="392">
        <v>26.2</v>
      </c>
      <c r="AD32" s="392">
        <v>25</v>
      </c>
      <c r="AE32" s="392">
        <v>15.5</v>
      </c>
    </row>
    <row r="33" spans="2:31" ht="12.75">
      <c r="B33" s="62"/>
      <c r="C33" s="157" t="s">
        <v>233</v>
      </c>
      <c r="D33" s="361" t="s">
        <v>238</v>
      </c>
      <c r="E33" s="252" t="s">
        <v>239</v>
      </c>
      <c r="F33" s="362" t="s">
        <v>236</v>
      </c>
      <c r="G33" s="322">
        <v>5</v>
      </c>
      <c r="H33" s="380">
        <f t="shared" si="2"/>
        <v>140</v>
      </c>
      <c r="I33" s="385"/>
      <c r="J33" s="245">
        <f t="shared" si="3"/>
        <v>7</v>
      </c>
      <c r="K33" s="245">
        <f t="shared" si="4"/>
        <v>140</v>
      </c>
      <c r="L33" s="245">
        <f t="shared" si="5"/>
        <v>20</v>
      </c>
      <c r="M33" s="245">
        <f t="shared" si="6"/>
        <v>10</v>
      </c>
      <c r="N33" s="245">
        <f t="shared" si="7"/>
        <v>110</v>
      </c>
      <c r="O33" s="245">
        <f t="shared" si="8"/>
        <v>0</v>
      </c>
      <c r="P33" s="363" t="s">
        <v>241</v>
      </c>
      <c r="Q33" s="31" t="s">
        <v>231</v>
      </c>
      <c r="R33" s="159"/>
      <c r="S33" s="245" t="s">
        <v>242</v>
      </c>
      <c r="T33" s="245" t="s">
        <v>243</v>
      </c>
      <c r="U33" s="245" t="s">
        <v>242</v>
      </c>
      <c r="W33" s="245">
        <v>100</v>
      </c>
      <c r="X33" s="245">
        <v>10</v>
      </c>
      <c r="Y33" s="245">
        <v>20</v>
      </c>
      <c r="Z33" t="s">
        <v>316</v>
      </c>
      <c r="AA33" s="245">
        <v>500</v>
      </c>
      <c r="AB33" s="392">
        <v>70</v>
      </c>
      <c r="AC33" s="392">
        <v>26.2</v>
      </c>
      <c r="AD33" s="392">
        <v>25</v>
      </c>
      <c r="AE33" s="392">
        <v>15.5</v>
      </c>
    </row>
    <row r="34" spans="2:31" ht="12.75">
      <c r="B34" s="62"/>
      <c r="C34" s="360" t="s">
        <v>233</v>
      </c>
      <c r="D34" s="361" t="s">
        <v>231</v>
      </c>
      <c r="E34" s="252" t="s">
        <v>242</v>
      </c>
      <c r="F34" s="362" t="s">
        <v>236</v>
      </c>
      <c r="G34" s="322">
        <v>5</v>
      </c>
      <c r="H34" s="380">
        <f t="shared" si="2"/>
        <v>120</v>
      </c>
      <c r="I34" s="385"/>
      <c r="J34" s="245">
        <f t="shared" si="3"/>
        <v>6</v>
      </c>
      <c r="K34" s="245">
        <f t="shared" si="4"/>
        <v>120</v>
      </c>
      <c r="L34" s="245">
        <f t="shared" si="5"/>
        <v>20</v>
      </c>
      <c r="M34" s="245">
        <f t="shared" si="6"/>
        <v>0</v>
      </c>
      <c r="N34" s="245">
        <f t="shared" si="7"/>
        <v>100</v>
      </c>
      <c r="O34" s="245">
        <f t="shared" si="8"/>
        <v>0</v>
      </c>
      <c r="P34" s="159"/>
      <c r="Q34" s="24"/>
      <c r="R34" s="159"/>
      <c r="S34" s="364" t="s">
        <v>244</v>
      </c>
      <c r="T34" s="245" t="s">
        <v>245</v>
      </c>
      <c r="U34" s="364" t="s">
        <v>244</v>
      </c>
      <c r="W34" s="245">
        <v>90</v>
      </c>
      <c r="X34" s="245">
        <v>10</v>
      </c>
      <c r="Y34" s="245">
        <v>20</v>
      </c>
      <c r="Z34" t="s">
        <v>296</v>
      </c>
      <c r="AA34" s="245">
        <f>E26</f>
        <v>0</v>
      </c>
      <c r="AB34" s="245">
        <f>F26</f>
        <v>0</v>
      </c>
      <c r="AC34" s="245">
        <f>G26</f>
        <v>0</v>
      </c>
      <c r="AD34" s="245">
        <f>H26</f>
        <v>0</v>
      </c>
      <c r="AE34" s="245">
        <f>I26</f>
        <v>0</v>
      </c>
    </row>
    <row r="35" spans="2:25" ht="12.75">
      <c r="B35" s="62"/>
      <c r="C35" s="157" t="s">
        <v>237</v>
      </c>
      <c r="D35" s="361" t="s">
        <v>234</v>
      </c>
      <c r="E35" s="252" t="s">
        <v>244</v>
      </c>
      <c r="F35" s="362" t="s">
        <v>236</v>
      </c>
      <c r="G35" s="321">
        <v>5</v>
      </c>
      <c r="H35" s="380">
        <f t="shared" si="2"/>
        <v>110</v>
      </c>
      <c r="I35" s="385"/>
      <c r="J35" s="245">
        <f t="shared" si="3"/>
        <v>5.5</v>
      </c>
      <c r="K35" s="245">
        <f t="shared" si="4"/>
        <v>110</v>
      </c>
      <c r="L35" s="245">
        <f t="shared" si="5"/>
        <v>0</v>
      </c>
      <c r="M35" s="245">
        <f t="shared" si="6"/>
        <v>20</v>
      </c>
      <c r="N35" s="245">
        <f t="shared" si="7"/>
        <v>90</v>
      </c>
      <c r="O35" s="245">
        <f t="shared" si="8"/>
        <v>0</v>
      </c>
      <c r="P35" s="159"/>
      <c r="Q35" s="24"/>
      <c r="R35" s="159"/>
      <c r="S35" s="364" t="s">
        <v>246</v>
      </c>
      <c r="U35" s="364" t="s">
        <v>246</v>
      </c>
      <c r="W35" s="245">
        <v>80</v>
      </c>
      <c r="X35" s="245">
        <v>10</v>
      </c>
      <c r="Y35" s="245">
        <v>20</v>
      </c>
    </row>
    <row r="36" spans="2:25" ht="12" customHeight="1">
      <c r="B36" s="62"/>
      <c r="C36" s="360" t="s">
        <v>237</v>
      </c>
      <c r="D36" s="361" t="s">
        <v>238</v>
      </c>
      <c r="E36" s="252" t="s">
        <v>246</v>
      </c>
      <c r="F36" s="362" t="s">
        <v>236</v>
      </c>
      <c r="G36" s="321">
        <v>10</v>
      </c>
      <c r="H36" s="380">
        <f t="shared" si="2"/>
        <v>90</v>
      </c>
      <c r="I36" s="385"/>
      <c r="J36" s="245">
        <f t="shared" si="3"/>
        <v>9</v>
      </c>
      <c r="K36" s="245">
        <f t="shared" si="4"/>
        <v>90</v>
      </c>
      <c r="L36" s="245">
        <f t="shared" si="5"/>
        <v>0</v>
      </c>
      <c r="M36" s="245">
        <f t="shared" si="6"/>
        <v>10</v>
      </c>
      <c r="N36" s="245">
        <f t="shared" si="7"/>
        <v>80</v>
      </c>
      <c r="O36" s="245">
        <f t="shared" si="8"/>
        <v>0</v>
      </c>
      <c r="S36" s="364" t="s">
        <v>247</v>
      </c>
      <c r="U36" s="364" t="s">
        <v>247</v>
      </c>
      <c r="V36" s="245" t="s">
        <v>248</v>
      </c>
      <c r="W36" s="245">
        <v>70</v>
      </c>
      <c r="X36" s="245">
        <v>10</v>
      </c>
      <c r="Y36" s="245">
        <v>20</v>
      </c>
    </row>
    <row r="37" spans="2:25" ht="12.75">
      <c r="B37" s="62"/>
      <c r="C37" s="157" t="s">
        <v>237</v>
      </c>
      <c r="D37" s="361" t="s">
        <v>231</v>
      </c>
      <c r="E37" s="252" t="s">
        <v>247</v>
      </c>
      <c r="F37" s="362" t="s">
        <v>243</v>
      </c>
      <c r="G37" s="321">
        <v>10</v>
      </c>
      <c r="H37" s="380">
        <f t="shared" si="2"/>
        <v>55</v>
      </c>
      <c r="I37" s="385"/>
      <c r="J37" s="245">
        <f t="shared" si="3"/>
        <v>5.5</v>
      </c>
      <c r="K37" s="245">
        <f t="shared" si="4"/>
        <v>55</v>
      </c>
      <c r="L37" s="245">
        <f t="shared" si="5"/>
        <v>0</v>
      </c>
      <c r="M37" s="245">
        <f t="shared" si="6"/>
        <v>0</v>
      </c>
      <c r="N37" s="245">
        <f t="shared" si="7"/>
        <v>70</v>
      </c>
      <c r="O37" s="245">
        <f t="shared" si="8"/>
        <v>-15</v>
      </c>
      <c r="S37" s="245" t="s">
        <v>203</v>
      </c>
      <c r="V37" s="245" t="s">
        <v>243</v>
      </c>
      <c r="W37" s="245">
        <v>55</v>
      </c>
      <c r="X37" s="245">
        <v>10</v>
      </c>
      <c r="Y37" s="245">
        <v>20</v>
      </c>
    </row>
    <row r="38" spans="2:25" ht="12.75">
      <c r="B38" s="62"/>
      <c r="C38" s="157" t="s">
        <v>241</v>
      </c>
      <c r="D38" s="361" t="s">
        <v>234</v>
      </c>
      <c r="E38" s="252" t="s">
        <v>203</v>
      </c>
      <c r="F38" s="362" t="s">
        <v>245</v>
      </c>
      <c r="G38" s="321">
        <v>20</v>
      </c>
      <c r="H38" s="380">
        <f t="shared" si="2"/>
        <v>50</v>
      </c>
      <c r="I38" s="385"/>
      <c r="J38" s="245">
        <f t="shared" si="3"/>
        <v>10</v>
      </c>
      <c r="K38" s="245">
        <f t="shared" si="4"/>
        <v>50</v>
      </c>
      <c r="L38" s="245">
        <f t="shared" si="5"/>
        <v>0</v>
      </c>
      <c r="M38" s="245">
        <f t="shared" si="6"/>
        <v>20</v>
      </c>
      <c r="N38" s="245">
        <f t="shared" si="7"/>
        <v>45</v>
      </c>
      <c r="O38" s="245">
        <f t="shared" si="8"/>
        <v>-15</v>
      </c>
      <c r="S38" s="245" t="s">
        <v>249</v>
      </c>
      <c r="V38" s="245" t="s">
        <v>245</v>
      </c>
      <c r="W38" s="245">
        <v>30</v>
      </c>
      <c r="X38" s="245">
        <v>10</v>
      </c>
      <c r="Y38" s="245">
        <v>20</v>
      </c>
    </row>
    <row r="39" spans="2:25" ht="12.75">
      <c r="B39" s="62"/>
      <c r="C39" s="157" t="s">
        <v>241</v>
      </c>
      <c r="D39" s="361" t="s">
        <v>238</v>
      </c>
      <c r="E39" s="252" t="s">
        <v>249</v>
      </c>
      <c r="F39" s="362" t="s">
        <v>236</v>
      </c>
      <c r="G39" s="321">
        <v>20</v>
      </c>
      <c r="H39" s="380">
        <f t="shared" si="2"/>
        <v>30</v>
      </c>
      <c r="I39" s="385"/>
      <c r="J39" s="245">
        <f t="shared" si="3"/>
        <v>6</v>
      </c>
      <c r="K39" s="245">
        <f t="shared" si="4"/>
        <v>30</v>
      </c>
      <c r="L39" s="245">
        <f t="shared" si="5"/>
        <v>0</v>
      </c>
      <c r="M39" s="245">
        <f t="shared" si="6"/>
        <v>10</v>
      </c>
      <c r="N39" s="245">
        <f t="shared" si="7"/>
        <v>20</v>
      </c>
      <c r="O39" s="245">
        <f t="shared" si="8"/>
        <v>0</v>
      </c>
      <c r="U39" s="245" t="s">
        <v>203</v>
      </c>
      <c r="V39" s="245">
        <f>10</f>
        <v>10</v>
      </c>
      <c r="W39" s="245">
        <v>45</v>
      </c>
      <c r="X39" s="245">
        <v>10</v>
      </c>
      <c r="Y39" s="245">
        <v>20</v>
      </c>
    </row>
    <row r="40" spans="2:25" ht="12.75">
      <c r="B40" s="62"/>
      <c r="C40" s="157" t="s">
        <v>241</v>
      </c>
      <c r="D40" s="156" t="s">
        <v>231</v>
      </c>
      <c r="E40" s="252" t="s">
        <v>249</v>
      </c>
      <c r="F40" s="362" t="s">
        <v>236</v>
      </c>
      <c r="G40" s="321">
        <v>20</v>
      </c>
      <c r="H40" s="382">
        <f t="shared" si="2"/>
        <v>20</v>
      </c>
      <c r="I40" s="385"/>
      <c r="J40" s="245">
        <f t="shared" si="3"/>
        <v>4</v>
      </c>
      <c r="K40" s="245">
        <f t="shared" si="4"/>
        <v>20</v>
      </c>
      <c r="L40" s="245">
        <f t="shared" si="5"/>
        <v>0</v>
      </c>
      <c r="M40" s="245">
        <f t="shared" si="6"/>
        <v>0</v>
      </c>
      <c r="N40" s="245">
        <f t="shared" si="7"/>
        <v>20</v>
      </c>
      <c r="O40" s="245">
        <f t="shared" si="8"/>
        <v>0</v>
      </c>
      <c r="V40" s="245" t="s">
        <v>245</v>
      </c>
      <c r="W40" s="245">
        <v>30</v>
      </c>
      <c r="X40" s="245">
        <v>10</v>
      </c>
      <c r="Y40" s="245">
        <v>20</v>
      </c>
    </row>
    <row r="41" spans="2:25" ht="12.75">
      <c r="B41" s="62"/>
      <c r="C41" s="383" t="s">
        <v>250</v>
      </c>
      <c r="D41" s="320" t="s">
        <v>264</v>
      </c>
      <c r="E41" s="145"/>
      <c r="F41" s="145"/>
      <c r="G41" s="365">
        <f>SUM(G32:G40)</f>
        <v>100</v>
      </c>
      <c r="H41" s="366"/>
      <c r="I41" s="182"/>
      <c r="J41" s="245"/>
      <c r="L41" s="245"/>
      <c r="M41" s="245"/>
      <c r="N41" s="245"/>
      <c r="O41" s="245"/>
      <c r="U41" s="245" t="s">
        <v>249</v>
      </c>
      <c r="V41" s="245"/>
      <c r="W41" s="245">
        <v>20</v>
      </c>
      <c r="X41" s="245">
        <v>10</v>
      </c>
      <c r="Y41" s="245">
        <v>20</v>
      </c>
    </row>
    <row r="42" spans="2:15" ht="12.75">
      <c r="B42" s="62"/>
      <c r="C42" s="384" t="s">
        <v>251</v>
      </c>
      <c r="D42" s="243"/>
      <c r="E42" s="243"/>
      <c r="F42" s="243"/>
      <c r="G42" s="243"/>
      <c r="H42" s="367">
        <f>SUM(J32:J40)</f>
        <v>61</v>
      </c>
      <c r="I42" s="388"/>
      <c r="L42" s="245"/>
      <c r="M42" s="245"/>
      <c r="N42" s="245"/>
      <c r="O42" s="245"/>
    </row>
    <row r="43" spans="2:14" ht="12.75">
      <c r="B43" s="62"/>
      <c r="C43" s="187" t="s">
        <v>252</v>
      </c>
      <c r="D43" s="62"/>
      <c r="E43" s="62"/>
      <c r="F43" s="62"/>
      <c r="G43" s="62"/>
      <c r="H43" s="62"/>
      <c r="K43" s="245"/>
      <c r="L43" s="245"/>
      <c r="M43" s="245"/>
      <c r="N43" s="245"/>
    </row>
    <row r="44" spans="2:14" ht="12.75">
      <c r="B44" s="62"/>
      <c r="C44" s="363" t="s">
        <v>255</v>
      </c>
      <c r="D44" s="62"/>
      <c r="E44" s="62"/>
      <c r="F44" s="62"/>
      <c r="G44" s="62"/>
      <c r="H44" s="62"/>
      <c r="K44" s="245"/>
      <c r="L44" s="245"/>
      <c r="M44" s="245"/>
      <c r="N44" s="245"/>
    </row>
    <row r="45" spans="2:14" ht="12.75">
      <c r="B45" s="62"/>
      <c r="C45" s="363" t="s">
        <v>253</v>
      </c>
      <c r="D45" s="62"/>
      <c r="E45" s="62"/>
      <c r="F45" s="62"/>
      <c r="G45" s="62"/>
      <c r="H45" s="62"/>
      <c r="K45" s="245"/>
      <c r="L45" s="245"/>
      <c r="M45" s="245"/>
      <c r="N45" s="245"/>
    </row>
    <row r="46" spans="2:13" ht="12.75">
      <c r="B46" s="62"/>
      <c r="C46" s="363" t="s">
        <v>254</v>
      </c>
      <c r="D46" s="62"/>
      <c r="E46" s="62"/>
      <c r="F46" s="62"/>
      <c r="G46" s="62"/>
      <c r="H46" s="62"/>
      <c r="M46" s="245"/>
    </row>
    <row r="47" spans="2:13" ht="12.75">
      <c r="B47" s="62"/>
      <c r="C47" s="363" t="s">
        <v>262</v>
      </c>
      <c r="D47" s="62"/>
      <c r="E47" s="62"/>
      <c r="F47" s="62"/>
      <c r="G47" s="62"/>
      <c r="H47" s="62"/>
      <c r="M47" s="245"/>
    </row>
    <row r="48" spans="2:13" ht="12.75">
      <c r="B48" s="62"/>
      <c r="C48" s="363" t="s">
        <v>263</v>
      </c>
      <c r="D48" s="62"/>
      <c r="E48" s="62"/>
      <c r="F48" s="62"/>
      <c r="G48" s="62"/>
      <c r="H48" s="62"/>
      <c r="M48" s="245"/>
    </row>
  </sheetData>
  <sheetProtection password="DBD9" sheet="1" objects="1" scenarios="1"/>
  <dataValidations count="6">
    <dataValidation type="custom" allowBlank="1" showInputMessage="1" showErrorMessage="1" errorTitle="Proportion des sols" error="Le total doit être égale à 100 %." sqref="G41">
      <formula1>100</formula1>
    </dataValidation>
    <dataValidation type="list" allowBlank="1" showInputMessage="1" showErrorMessage="1" sqref="C32:C40">
      <formula1>$P$31:$P$33</formula1>
    </dataValidation>
    <dataValidation type="list" allowBlank="1" showInputMessage="1" showErrorMessage="1" sqref="D32:D40">
      <formula1>$Q$31:$Q$33</formula1>
    </dataValidation>
    <dataValidation type="list" allowBlank="1" showInputMessage="1" showErrorMessage="1" sqref="E32:E40">
      <formula1>$S$31:$S$38</formula1>
    </dataValidation>
    <dataValidation type="list" allowBlank="1" showInputMessage="1" showErrorMessage="1" sqref="F32:F40">
      <formula1>$T$31:$T$34</formula1>
    </dataValidation>
    <dataValidation type="list" allowBlank="1" showInputMessage="1" showErrorMessage="1" sqref="C25">
      <formula1>$Z$3:$Z$34</formula1>
    </dataValidation>
  </dataValidations>
  <printOptions/>
  <pageMargins left="0.3937007874015748" right="0.3937007874015748" top="0.984251968503937" bottom="0.984251968503937" header="0.5118110236220472" footer="0.5118110236220472"/>
  <pageSetup horizontalDpi="300" verticalDpi="300" orientation="portrait" scale="90" r:id="rId3"/>
  <headerFooter alignWithMargins="0">
    <oddHeader>&amp;L&amp;"Arial,Gras"Estimation des rejets d'azote et de phosphore&amp;RCorpen
</oddHeader>
    <oddFooter>&amp;R&amp;F -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B1:H113"/>
  <sheetViews>
    <sheetView showGridLines="0" showRowColHeaders="0" showZeros="0" showOutlineSymbols="0" zoomScale="80" zoomScaleNormal="80" workbookViewId="0" topLeftCell="A1">
      <pane ySplit="11" topLeftCell="BM12" activePane="bottomLeft" state="frozen"/>
      <selection pane="topLeft" activeCell="C2" sqref="C2"/>
      <selection pane="bottomLeft" activeCell="C13" sqref="C13"/>
    </sheetView>
  </sheetViews>
  <sheetFormatPr defaultColWidth="11.421875" defaultRowHeight="12.75"/>
  <cols>
    <col min="1" max="1" width="3.8515625" style="0" customWidth="1"/>
    <col min="2" max="2" width="4.7109375" style="0" customWidth="1"/>
    <col min="3" max="3" width="24.28125" style="0" customWidth="1"/>
    <col min="4" max="4" width="13.28125" style="0" customWidth="1"/>
  </cols>
  <sheetData>
    <row r="1" spans="2:8" ht="12.75">
      <c r="B1" s="41"/>
      <c r="C1" s="41"/>
      <c r="D1" s="41"/>
      <c r="E1" s="41"/>
      <c r="F1" s="41"/>
      <c r="G1" s="41"/>
      <c r="H1" s="41"/>
    </row>
    <row r="2" spans="2:7" ht="12.75">
      <c r="B2" s="41"/>
      <c r="C2" s="38" t="s">
        <v>14</v>
      </c>
      <c r="D2" s="106">
        <f>IF(Elevage!C2&lt;&gt;0,Elevage!C2,"")</f>
      </c>
      <c r="E2" s="25"/>
      <c r="F2" s="25"/>
      <c r="G2" s="26"/>
    </row>
    <row r="3" spans="2:7" ht="12.75">
      <c r="B3" s="41"/>
      <c r="C3" s="39" t="s">
        <v>15</v>
      </c>
      <c r="D3" s="8">
        <f>IF(Elevage!D3&lt;&gt;0,Elevage!D3,"")</f>
      </c>
      <c r="E3" s="41"/>
      <c r="F3" s="41"/>
      <c r="G3" s="27"/>
    </row>
    <row r="4" spans="2:7" ht="12.75">
      <c r="B4" s="41"/>
      <c r="C4" s="39"/>
      <c r="D4" s="8">
        <f>IF(Elevage!C4&lt;&gt;0,Elevage!C4,"")</f>
      </c>
      <c r="E4" s="41"/>
      <c r="F4" s="41"/>
      <c r="G4" s="27"/>
    </row>
    <row r="5" spans="2:7" ht="12.75">
      <c r="B5" s="41"/>
      <c r="C5" s="40"/>
      <c r="D5" s="107">
        <f>IF(Elevage!C5&lt;&gt;0,Elevage!C5,"")</f>
      </c>
      <c r="E5" s="28"/>
      <c r="F5" s="28"/>
      <c r="G5" s="16"/>
    </row>
    <row r="6" spans="2:8" ht="12.75">
      <c r="B6" s="41"/>
      <c r="C6" s="41"/>
      <c r="D6" s="41"/>
      <c r="E6" s="41"/>
      <c r="F6" s="41"/>
      <c r="G6" s="41"/>
      <c r="H6" s="41"/>
    </row>
    <row r="7" spans="2:8" ht="12.75">
      <c r="B7" s="41"/>
      <c r="C7" s="42" t="s">
        <v>46</v>
      </c>
      <c r="D7" s="9">
        <f>Elevage!I9</f>
        <v>37622</v>
      </c>
      <c r="E7" s="110" t="s">
        <v>47</v>
      </c>
      <c r="F7" s="9">
        <f>Elevage!I10</f>
        <v>37986</v>
      </c>
      <c r="G7" s="41"/>
      <c r="H7" s="41"/>
    </row>
    <row r="8" spans="2:8" ht="12.75">
      <c r="B8" s="41"/>
      <c r="C8" s="41"/>
      <c r="D8" s="41"/>
      <c r="E8" s="41"/>
      <c r="F8" s="41"/>
      <c r="G8" s="41"/>
      <c r="H8" s="41"/>
    </row>
    <row r="9" spans="2:8" ht="12.75">
      <c r="B9" s="41"/>
      <c r="C9" s="41"/>
      <c r="D9" s="17" t="s">
        <v>38</v>
      </c>
      <c r="E9" s="45" t="s">
        <v>39</v>
      </c>
      <c r="F9" s="45" t="s">
        <v>40</v>
      </c>
      <c r="G9" s="45" t="s">
        <v>41</v>
      </c>
      <c r="H9" s="45" t="s">
        <v>40</v>
      </c>
    </row>
    <row r="10" spans="2:8" ht="12.75">
      <c r="B10" s="41"/>
      <c r="C10" s="16"/>
      <c r="D10" s="18" t="s">
        <v>29</v>
      </c>
      <c r="E10" s="46" t="s">
        <v>42</v>
      </c>
      <c r="F10" s="46" t="s">
        <v>42</v>
      </c>
      <c r="G10" s="46" t="s">
        <v>29</v>
      </c>
      <c r="H10" s="46" t="s">
        <v>43</v>
      </c>
    </row>
    <row r="11" spans="2:8" ht="12.75">
      <c r="B11" s="41"/>
      <c r="C11" s="44" t="s">
        <v>44</v>
      </c>
      <c r="D11" s="19">
        <f>D12+D25+D38</f>
        <v>0</v>
      </c>
      <c r="E11" s="20">
        <f>IF(D11&lt;&gt;0,G11*6.25/D11*100,"")</f>
      </c>
      <c r="F11" s="21">
        <f>IF(D11&lt;&gt;0,H11/D11*100,"")</f>
      </c>
      <c r="G11" s="19">
        <f>G12+G25+G38</f>
        <v>0</v>
      </c>
      <c r="H11" s="19">
        <f>H12+H25+H38</f>
        <v>0</v>
      </c>
    </row>
    <row r="12" spans="2:8" ht="12.75">
      <c r="B12" s="5">
        <v>1</v>
      </c>
      <c r="C12" s="128" t="s">
        <v>82</v>
      </c>
      <c r="D12" s="129">
        <f>SUM(D13:D23)</f>
        <v>0</v>
      </c>
      <c r="E12" s="130">
        <f>IF(D12&lt;&gt;0,G12*6.25/D12*100,"")</f>
      </c>
      <c r="F12" s="131">
        <f>IF(D12&lt;&gt;0,H12/D12*100,"")</f>
      </c>
      <c r="G12" s="124">
        <f>SUM(G13:G24)</f>
        <v>0</v>
      </c>
      <c r="H12" s="124">
        <f>SUM(H13:H24)</f>
        <v>0</v>
      </c>
    </row>
    <row r="13" spans="2:8" ht="12.75">
      <c r="B13" s="5">
        <f>+B12+1</f>
        <v>2</v>
      </c>
      <c r="C13" s="84">
        <v>1</v>
      </c>
      <c r="D13" s="85"/>
      <c r="E13" s="86">
        <v>18.3</v>
      </c>
      <c r="F13" s="87">
        <v>0.65</v>
      </c>
      <c r="G13" s="6">
        <f>IF(E13&lt;&gt;0,+E13/100*D13/6.25,"")</f>
        <v>0</v>
      </c>
      <c r="H13" s="6">
        <f>IF(F13&lt;&gt;0,+F13/100*D13,"")</f>
        <v>0</v>
      </c>
    </row>
    <row r="14" spans="2:8" ht="12.75">
      <c r="B14" s="5">
        <f aca="true" t="shared" si="0" ref="B14:B29">+B13+1</f>
        <v>3</v>
      </c>
      <c r="C14" s="84">
        <v>2</v>
      </c>
      <c r="D14" s="85"/>
      <c r="E14" s="86">
        <v>17.2</v>
      </c>
      <c r="F14" s="87">
        <v>0.6</v>
      </c>
      <c r="G14" s="6">
        <f>IF(E14&lt;&gt;0,+E14/100*D14/6.25,"")</f>
        <v>0</v>
      </c>
      <c r="H14" s="6">
        <f>IF(F14&lt;&gt;0,+F14/100*D14,"")</f>
        <v>0</v>
      </c>
    </row>
    <row r="15" spans="2:8" ht="12.75">
      <c r="B15" s="5">
        <f t="shared" si="0"/>
        <v>4</v>
      </c>
      <c r="C15" s="84">
        <v>3</v>
      </c>
      <c r="D15" s="85"/>
      <c r="E15" s="86">
        <v>16.2</v>
      </c>
      <c r="F15" s="87">
        <v>0.56</v>
      </c>
      <c r="G15" s="6">
        <f>IF(E15&lt;&gt;0,+E15/100*D15/6.25,"")</f>
        <v>0</v>
      </c>
      <c r="H15" s="6">
        <f>IF(F15&lt;&gt;0,+F15/100*D15,"")</f>
        <v>0</v>
      </c>
    </row>
    <row r="16" spans="2:8" ht="12.75">
      <c r="B16" s="5">
        <f t="shared" si="0"/>
        <v>5</v>
      </c>
      <c r="C16" s="84">
        <v>4</v>
      </c>
      <c r="D16" s="85"/>
      <c r="E16" s="86">
        <v>15.6</v>
      </c>
      <c r="F16" s="87">
        <v>0.53</v>
      </c>
      <c r="G16" s="6">
        <f>IF(E16&lt;&gt;0,+E16/100*D16/6.25,"")</f>
        <v>0</v>
      </c>
      <c r="H16" s="6">
        <f>IF(F16&lt;&gt;0,+F16/100*D16,"")</f>
        <v>0</v>
      </c>
    </row>
    <row r="17" spans="2:8" ht="12.75">
      <c r="B17" s="5">
        <f t="shared" si="0"/>
        <v>6</v>
      </c>
      <c r="C17" s="84"/>
      <c r="D17" s="85"/>
      <c r="E17" s="86"/>
      <c r="F17" s="87"/>
      <c r="G17" s="6">
        <f aca="true" t="shared" si="1" ref="G17:G23">IF(E17&lt;&gt;0,+E17/100*D17/6.25,"")</f>
      </c>
      <c r="H17" s="6">
        <f aca="true" t="shared" si="2" ref="H17:H23">IF(F17&lt;&gt;0,+F17/100*D17,"")</f>
      </c>
    </row>
    <row r="18" spans="2:8" ht="12.75">
      <c r="B18" s="5">
        <f t="shared" si="0"/>
        <v>7</v>
      </c>
      <c r="C18" s="84"/>
      <c r="D18" s="85"/>
      <c r="E18" s="86"/>
      <c r="F18" s="87"/>
      <c r="G18" s="6">
        <f t="shared" si="1"/>
      </c>
      <c r="H18" s="6">
        <f t="shared" si="2"/>
      </c>
    </row>
    <row r="19" spans="2:8" ht="12.75">
      <c r="B19" s="5">
        <f t="shared" si="0"/>
        <v>8</v>
      </c>
      <c r="C19" s="84"/>
      <c r="D19" s="85"/>
      <c r="E19" s="86"/>
      <c r="F19" s="87"/>
      <c r="G19" s="6">
        <f t="shared" si="1"/>
      </c>
      <c r="H19" s="6">
        <f t="shared" si="2"/>
      </c>
    </row>
    <row r="20" spans="2:8" ht="12.75">
      <c r="B20" s="5">
        <f t="shared" si="0"/>
        <v>9</v>
      </c>
      <c r="C20" s="84"/>
      <c r="D20" s="85"/>
      <c r="E20" s="86"/>
      <c r="F20" s="87"/>
      <c r="G20" s="6">
        <f t="shared" si="1"/>
      </c>
      <c r="H20" s="6">
        <f t="shared" si="2"/>
      </c>
    </row>
    <row r="21" spans="2:8" ht="12.75">
      <c r="B21" s="5">
        <f t="shared" si="0"/>
        <v>10</v>
      </c>
      <c r="C21" s="84"/>
      <c r="D21" s="85"/>
      <c r="E21" s="86"/>
      <c r="F21" s="87"/>
      <c r="G21" s="6">
        <f t="shared" si="1"/>
      </c>
      <c r="H21" s="6">
        <f t="shared" si="2"/>
      </c>
    </row>
    <row r="22" spans="2:8" ht="12.75">
      <c r="B22" s="5">
        <f t="shared" si="0"/>
        <v>11</v>
      </c>
      <c r="C22" s="84"/>
      <c r="D22" s="85"/>
      <c r="E22" s="86"/>
      <c r="F22" s="87"/>
      <c r="G22" s="6">
        <f t="shared" si="1"/>
      </c>
      <c r="H22" s="6">
        <f t="shared" si="2"/>
      </c>
    </row>
    <row r="23" spans="2:8" ht="12.75">
      <c r="B23" s="5">
        <f t="shared" si="0"/>
        <v>12</v>
      </c>
      <c r="C23" s="84"/>
      <c r="D23" s="85"/>
      <c r="E23" s="86"/>
      <c r="F23" s="87"/>
      <c r="G23" s="6">
        <f t="shared" si="1"/>
      </c>
      <c r="H23" s="6">
        <f t="shared" si="2"/>
      </c>
    </row>
    <row r="24" spans="2:8" ht="12.75">
      <c r="B24" s="5">
        <f t="shared" si="0"/>
        <v>13</v>
      </c>
      <c r="C24" s="84" t="s">
        <v>196</v>
      </c>
      <c r="D24" s="85"/>
      <c r="E24" s="86">
        <v>0.63</v>
      </c>
      <c r="F24" s="87">
        <v>0.047</v>
      </c>
      <c r="G24" s="6">
        <f>IF(E24&lt;&gt;0,+E24/100*D24/6.25,"")</f>
        <v>0</v>
      </c>
      <c r="H24" s="6">
        <f>IF(F24&lt;&gt;0,+F24/100*D24,"")</f>
        <v>0</v>
      </c>
    </row>
    <row r="25" spans="2:8" ht="12.75">
      <c r="B25" s="5">
        <f t="shared" si="0"/>
        <v>14</v>
      </c>
      <c r="C25" s="128" t="s">
        <v>166</v>
      </c>
      <c r="D25" s="129">
        <f>SUM(D26:D36)</f>
        <v>0</v>
      </c>
      <c r="E25" s="130">
        <f>IF(D25&lt;&gt;0,G25*6.25/D25*100,"")</f>
      </c>
      <c r="F25" s="131">
        <f>IF(D25&lt;&gt;0,H25/D25*100,"")</f>
      </c>
      <c r="G25" s="124">
        <f>SUM(G26:G37)</f>
        <v>0</v>
      </c>
      <c r="H25" s="124">
        <f>SUM(H26:H37)</f>
        <v>0</v>
      </c>
    </row>
    <row r="26" spans="2:8" ht="12.75">
      <c r="B26" s="5">
        <f t="shared" si="0"/>
        <v>15</v>
      </c>
      <c r="C26" s="84" t="s">
        <v>286</v>
      </c>
      <c r="D26" s="85"/>
      <c r="E26" s="86">
        <v>21</v>
      </c>
      <c r="F26" s="87">
        <v>0.71</v>
      </c>
      <c r="G26" s="6">
        <f aca="true" t="shared" si="3" ref="G26:G37">IF(E26&lt;&gt;0,+E26/100*D26/6.25,"")</f>
        <v>0</v>
      </c>
      <c r="H26" s="6">
        <f aca="true" t="shared" si="4" ref="H26:H37">IF(F26&lt;&gt;0,+F26/100*D26,"")</f>
        <v>0</v>
      </c>
    </row>
    <row r="27" spans="2:8" ht="12.75">
      <c r="B27" s="5">
        <f t="shared" si="0"/>
        <v>16</v>
      </c>
      <c r="C27" s="84" t="s">
        <v>287</v>
      </c>
      <c r="D27" s="85"/>
      <c r="E27" s="86">
        <v>18.6</v>
      </c>
      <c r="F27" s="87">
        <v>0.53</v>
      </c>
      <c r="G27" s="6">
        <f t="shared" si="3"/>
        <v>0</v>
      </c>
      <c r="H27" s="6">
        <f t="shared" si="4"/>
        <v>0</v>
      </c>
    </row>
    <row r="28" spans="2:8" ht="12.75">
      <c r="B28" s="5">
        <f t="shared" si="0"/>
        <v>17</v>
      </c>
      <c r="C28" s="84" t="s">
        <v>288</v>
      </c>
      <c r="D28" s="85"/>
      <c r="E28" s="86">
        <v>17.6</v>
      </c>
      <c r="F28" s="87">
        <v>0.65</v>
      </c>
      <c r="G28" s="6">
        <f t="shared" si="3"/>
        <v>0</v>
      </c>
      <c r="H28" s="6">
        <f t="shared" si="4"/>
        <v>0</v>
      </c>
    </row>
    <row r="29" spans="2:8" ht="12.75">
      <c r="B29" s="5">
        <f t="shared" si="0"/>
        <v>18</v>
      </c>
      <c r="C29" s="84" t="s">
        <v>289</v>
      </c>
      <c r="D29" s="85"/>
      <c r="E29" s="86">
        <v>17.3</v>
      </c>
      <c r="F29" s="87">
        <v>0.65</v>
      </c>
      <c r="G29" s="6">
        <f t="shared" si="3"/>
        <v>0</v>
      </c>
      <c r="H29" s="6">
        <f t="shared" si="4"/>
        <v>0</v>
      </c>
    </row>
    <row r="30" spans="2:8" ht="12.75">
      <c r="B30" s="5">
        <f aca="true" t="shared" si="5" ref="B30:B45">+B29+1</f>
        <v>19</v>
      </c>
      <c r="C30" s="84" t="s">
        <v>290</v>
      </c>
      <c r="D30" s="85"/>
      <c r="E30" s="86">
        <v>18</v>
      </c>
      <c r="F30" s="87">
        <v>0.55</v>
      </c>
      <c r="G30" s="6">
        <f t="shared" si="3"/>
        <v>0</v>
      </c>
      <c r="H30" s="6">
        <f t="shared" si="4"/>
        <v>0</v>
      </c>
    </row>
    <row r="31" spans="2:8" ht="12.75">
      <c r="B31" s="5">
        <f t="shared" si="5"/>
        <v>20</v>
      </c>
      <c r="C31" s="84">
        <v>6</v>
      </c>
      <c r="D31" s="85"/>
      <c r="E31" s="86">
        <v>14</v>
      </c>
      <c r="F31" s="87">
        <v>0.58</v>
      </c>
      <c r="G31" s="6">
        <f t="shared" si="3"/>
        <v>0</v>
      </c>
      <c r="H31" s="6">
        <f t="shared" si="4"/>
        <v>0</v>
      </c>
    </row>
    <row r="32" spans="2:8" ht="12.75">
      <c r="B32" s="5">
        <f t="shared" si="5"/>
        <v>21</v>
      </c>
      <c r="C32" s="84">
        <v>7</v>
      </c>
      <c r="D32" s="85"/>
      <c r="E32" s="86">
        <v>15</v>
      </c>
      <c r="F32" s="87">
        <v>0.6</v>
      </c>
      <c r="G32" s="6">
        <f t="shared" si="3"/>
        <v>0</v>
      </c>
      <c r="H32" s="6">
        <f t="shared" si="4"/>
        <v>0</v>
      </c>
    </row>
    <row r="33" spans="2:8" ht="12.75">
      <c r="B33" s="5">
        <f t="shared" si="5"/>
        <v>22</v>
      </c>
      <c r="C33" s="84"/>
      <c r="D33" s="85"/>
      <c r="E33" s="86"/>
      <c r="F33" s="87"/>
      <c r="G33" s="6">
        <f>IF(E33&lt;&gt;0,+E33/100*D33/6.25,"")</f>
      </c>
      <c r="H33" s="6">
        <f>IF(F33&lt;&gt;0,+F33/100*D33,"")</f>
      </c>
    </row>
    <row r="34" spans="2:8" ht="12.75">
      <c r="B34" s="5">
        <f t="shared" si="5"/>
        <v>23</v>
      </c>
      <c r="C34" s="84"/>
      <c r="D34" s="85"/>
      <c r="E34" s="86"/>
      <c r="F34" s="87"/>
      <c r="G34" s="6">
        <f>IF(E34&lt;&gt;0,+E34/100*D34/6.25,"")</f>
      </c>
      <c r="H34" s="6">
        <f>IF(F34&lt;&gt;0,+F34/100*D34,"")</f>
      </c>
    </row>
    <row r="35" spans="2:8" ht="12.75">
      <c r="B35" s="5">
        <f t="shared" si="5"/>
        <v>24</v>
      </c>
      <c r="C35" s="84"/>
      <c r="D35" s="85"/>
      <c r="E35" s="86"/>
      <c r="F35" s="87"/>
      <c r="G35" s="6">
        <f>IF(E35&lt;&gt;0,+E35/100*D35/6.25,"")</f>
      </c>
      <c r="H35" s="6">
        <f>IF(F35&lt;&gt;0,+F35/100*D35,"")</f>
      </c>
    </row>
    <row r="36" spans="2:8" ht="12.75">
      <c r="B36" s="5">
        <f t="shared" si="5"/>
        <v>25</v>
      </c>
      <c r="C36" s="84"/>
      <c r="D36" s="85"/>
      <c r="E36" s="86"/>
      <c r="F36" s="87"/>
      <c r="G36" s="6">
        <f>IF(E36&lt;&gt;0,+E36/100*D36/6.25,"")</f>
      </c>
      <c r="H36" s="6">
        <f>IF(F36&lt;&gt;0,+F36/100*D36,"")</f>
      </c>
    </row>
    <row r="37" spans="2:8" ht="12.75">
      <c r="B37" s="5">
        <f t="shared" si="5"/>
        <v>26</v>
      </c>
      <c r="C37" s="84" t="s">
        <v>196</v>
      </c>
      <c r="D37" s="85"/>
      <c r="E37" s="87">
        <v>0.63</v>
      </c>
      <c r="F37" s="87">
        <v>0.047</v>
      </c>
      <c r="G37" s="6">
        <f t="shared" si="3"/>
        <v>0</v>
      </c>
      <c r="H37" s="6">
        <f t="shared" si="4"/>
        <v>0</v>
      </c>
    </row>
    <row r="38" spans="2:8" ht="12.75">
      <c r="B38" s="5">
        <f t="shared" si="5"/>
        <v>27</v>
      </c>
      <c r="C38" s="128" t="s">
        <v>167</v>
      </c>
      <c r="D38" s="129">
        <f>SUM(D39:D51)</f>
        <v>0</v>
      </c>
      <c r="E38" s="130">
        <f>IF(D38&lt;&gt;0,G38*6.25/D38*100,"")</f>
      </c>
      <c r="F38" s="131">
        <f>IF(D38&lt;&gt;0,H38/D38*100,"")</f>
      </c>
      <c r="G38" s="124">
        <f>SUM(G39:G52)</f>
        <v>0</v>
      </c>
      <c r="H38" s="124">
        <f>SUM(H39:H52)</f>
        <v>0</v>
      </c>
    </row>
    <row r="39" spans="2:8" ht="12.75">
      <c r="B39" s="5">
        <f t="shared" si="5"/>
        <v>28</v>
      </c>
      <c r="C39" s="84">
        <v>1</v>
      </c>
      <c r="D39" s="85"/>
      <c r="E39" s="86">
        <v>28</v>
      </c>
      <c r="F39" s="87">
        <v>1.1</v>
      </c>
      <c r="G39" s="6">
        <f aca="true" t="shared" si="6" ref="G39:G47">IF(E39&lt;&gt;0,+E39/100*D39/6.25,"")</f>
        <v>0</v>
      </c>
      <c r="H39" s="6">
        <f aca="true" t="shared" si="7" ref="H39:H47">IF(F39&lt;&gt;0,+F39/100*D39,"")</f>
        <v>0</v>
      </c>
    </row>
    <row r="40" spans="2:8" ht="12.75">
      <c r="B40" s="5">
        <f t="shared" si="5"/>
        <v>29</v>
      </c>
      <c r="C40" s="84">
        <v>2</v>
      </c>
      <c r="D40" s="85"/>
      <c r="E40" s="86">
        <v>26</v>
      </c>
      <c r="F40" s="87">
        <v>0.95</v>
      </c>
      <c r="G40" s="6">
        <f t="shared" si="6"/>
        <v>0</v>
      </c>
      <c r="H40" s="6">
        <f t="shared" si="7"/>
        <v>0</v>
      </c>
    </row>
    <row r="41" spans="2:8" ht="12.75">
      <c r="B41" s="5">
        <f t="shared" si="5"/>
        <v>30</v>
      </c>
      <c r="C41" s="84">
        <v>3</v>
      </c>
      <c r="D41" s="85"/>
      <c r="E41" s="86">
        <v>23</v>
      </c>
      <c r="F41" s="87">
        <v>0.85</v>
      </c>
      <c r="G41" s="6">
        <f t="shared" si="6"/>
        <v>0</v>
      </c>
      <c r="H41" s="6">
        <f t="shared" si="7"/>
        <v>0</v>
      </c>
    </row>
    <row r="42" spans="2:8" ht="12.75">
      <c r="B42" s="5">
        <f t="shared" si="5"/>
        <v>31</v>
      </c>
      <c r="C42" s="84">
        <v>4</v>
      </c>
      <c r="D42" s="85"/>
      <c r="E42" s="86">
        <v>20</v>
      </c>
      <c r="F42" s="87">
        <v>0.72</v>
      </c>
      <c r="G42" s="6">
        <f t="shared" si="6"/>
        <v>0</v>
      </c>
      <c r="H42" s="6">
        <f t="shared" si="7"/>
        <v>0</v>
      </c>
    </row>
    <row r="43" spans="2:8" ht="12.75">
      <c r="B43" s="5">
        <f t="shared" si="5"/>
        <v>32</v>
      </c>
      <c r="C43" s="84">
        <v>5</v>
      </c>
      <c r="D43" s="85"/>
      <c r="E43" s="86">
        <v>18</v>
      </c>
      <c r="F43" s="87">
        <v>0.65</v>
      </c>
      <c r="G43" s="6">
        <f t="shared" si="6"/>
        <v>0</v>
      </c>
      <c r="H43" s="6">
        <f t="shared" si="7"/>
        <v>0</v>
      </c>
    </row>
    <row r="44" spans="2:8" ht="12.75">
      <c r="B44" s="5">
        <f t="shared" si="5"/>
        <v>33</v>
      </c>
      <c r="C44" s="84">
        <v>6</v>
      </c>
      <c r="D44" s="85"/>
      <c r="E44" s="86">
        <v>16</v>
      </c>
      <c r="F44" s="87">
        <v>0.6</v>
      </c>
      <c r="G44" s="6">
        <f t="shared" si="6"/>
        <v>0</v>
      </c>
      <c r="H44" s="6">
        <f t="shared" si="7"/>
        <v>0</v>
      </c>
    </row>
    <row r="45" spans="2:8" ht="12.75">
      <c r="B45" s="5">
        <f t="shared" si="5"/>
        <v>34</v>
      </c>
      <c r="C45" s="84"/>
      <c r="D45" s="85"/>
      <c r="E45" s="86"/>
      <c r="F45" s="87"/>
      <c r="G45" s="6">
        <f>IF(E45&lt;&gt;0,+E45/100*D45/6.25,"")</f>
      </c>
      <c r="H45" s="6">
        <f>IF(F45&lt;&gt;0,+F45/100*D45,"")</f>
      </c>
    </row>
    <row r="46" spans="2:8" ht="12.75">
      <c r="B46" s="5">
        <f aca="true" t="shared" si="8" ref="B46:B61">+B45+1</f>
        <v>35</v>
      </c>
      <c r="C46" s="84"/>
      <c r="D46" s="85"/>
      <c r="E46" s="86"/>
      <c r="F46" s="87"/>
      <c r="G46" s="6">
        <f t="shared" si="6"/>
      </c>
      <c r="H46" s="6">
        <f t="shared" si="7"/>
      </c>
    </row>
    <row r="47" spans="2:8" ht="12.75">
      <c r="B47" s="5">
        <f t="shared" si="8"/>
        <v>36</v>
      </c>
      <c r="C47" s="84"/>
      <c r="D47" s="209"/>
      <c r="E47" s="86"/>
      <c r="F47" s="210"/>
      <c r="G47" s="6">
        <f t="shared" si="6"/>
      </c>
      <c r="H47" s="6">
        <f t="shared" si="7"/>
      </c>
    </row>
    <row r="48" spans="2:8" ht="12.75">
      <c r="B48" s="5">
        <f t="shared" si="8"/>
        <v>37</v>
      </c>
      <c r="C48" s="84"/>
      <c r="D48" s="85"/>
      <c r="E48" s="86"/>
      <c r="F48" s="87"/>
      <c r="G48" s="6">
        <f aca="true" t="shared" si="9" ref="G48:G108">IF(E48&lt;&gt;0,+E48/100*D48/6.25,"")</f>
      </c>
      <c r="H48" s="6">
        <f aca="true" t="shared" si="10" ref="H48:H108">IF(F48&lt;&gt;0,+F48/100*D48,"")</f>
      </c>
    </row>
    <row r="49" spans="2:8" ht="12.75">
      <c r="B49" s="5">
        <f t="shared" si="8"/>
        <v>38</v>
      </c>
      <c r="C49" s="84"/>
      <c r="D49" s="85"/>
      <c r="E49" s="86"/>
      <c r="F49" s="87"/>
      <c r="G49" s="6">
        <f t="shared" si="9"/>
      </c>
      <c r="H49" s="6">
        <f t="shared" si="10"/>
      </c>
    </row>
    <row r="50" spans="2:8" ht="12.75">
      <c r="B50" s="5">
        <f t="shared" si="8"/>
        <v>39</v>
      </c>
      <c r="C50" s="84"/>
      <c r="D50" s="85"/>
      <c r="E50" s="86"/>
      <c r="F50" s="87"/>
      <c r="G50" s="6">
        <f t="shared" si="9"/>
      </c>
      <c r="H50" s="6">
        <f t="shared" si="10"/>
      </c>
    </row>
    <row r="51" spans="2:8" ht="12.75">
      <c r="B51" s="5">
        <f t="shared" si="8"/>
        <v>40</v>
      </c>
      <c r="C51" s="84"/>
      <c r="D51" s="85"/>
      <c r="E51" s="86"/>
      <c r="F51" s="87"/>
      <c r="G51" s="6">
        <f t="shared" si="9"/>
      </c>
      <c r="H51" s="6">
        <f t="shared" si="10"/>
      </c>
    </row>
    <row r="52" spans="2:8" ht="12.75">
      <c r="B52" s="5">
        <f t="shared" si="8"/>
        <v>41</v>
      </c>
      <c r="C52" s="125" t="s">
        <v>196</v>
      </c>
      <c r="D52" s="126"/>
      <c r="E52" s="127">
        <v>0.63</v>
      </c>
      <c r="F52" s="127">
        <v>0.047</v>
      </c>
      <c r="G52" s="7">
        <f>IF(E52&lt;&gt;0,+E52/100*D52/6.25,"")</f>
        <v>0</v>
      </c>
      <c r="H52" s="7">
        <f>IF(F52&lt;&gt;0,+F52/100*D52,"")</f>
        <v>0</v>
      </c>
    </row>
    <row r="53" spans="2:8" ht="12.75">
      <c r="B53" s="5">
        <f t="shared" si="8"/>
        <v>42</v>
      </c>
      <c r="C53" s="84"/>
      <c r="D53" s="85"/>
      <c r="E53" s="86"/>
      <c r="F53" s="87"/>
      <c r="G53" s="6">
        <f t="shared" si="9"/>
      </c>
      <c r="H53" s="6">
        <f t="shared" si="10"/>
      </c>
    </row>
    <row r="54" spans="2:8" ht="12.75">
      <c r="B54" s="5">
        <f t="shared" si="8"/>
        <v>43</v>
      </c>
      <c r="C54" s="84"/>
      <c r="D54" s="85"/>
      <c r="E54" s="86"/>
      <c r="F54" s="87"/>
      <c r="G54" s="6">
        <f t="shared" si="9"/>
      </c>
      <c r="H54" s="6">
        <f t="shared" si="10"/>
      </c>
    </row>
    <row r="55" spans="2:8" ht="12.75">
      <c r="B55" s="5">
        <f t="shared" si="8"/>
        <v>44</v>
      </c>
      <c r="C55" s="84"/>
      <c r="D55" s="85"/>
      <c r="E55" s="86"/>
      <c r="F55" s="87"/>
      <c r="G55" s="6">
        <f t="shared" si="9"/>
      </c>
      <c r="H55" s="6">
        <f t="shared" si="10"/>
      </c>
    </row>
    <row r="56" spans="2:8" ht="12.75">
      <c r="B56" s="5">
        <f t="shared" si="8"/>
        <v>45</v>
      </c>
      <c r="C56" s="84"/>
      <c r="D56" s="85"/>
      <c r="E56" s="86"/>
      <c r="F56" s="87"/>
      <c r="G56" s="6">
        <f t="shared" si="9"/>
      </c>
      <c r="H56" s="6">
        <f t="shared" si="10"/>
      </c>
    </row>
    <row r="57" spans="2:8" ht="12.75">
      <c r="B57" s="5">
        <f t="shared" si="8"/>
        <v>46</v>
      </c>
      <c r="C57" s="84"/>
      <c r="D57" s="85"/>
      <c r="E57" s="86"/>
      <c r="F57" s="87"/>
      <c r="G57" s="6">
        <f t="shared" si="9"/>
      </c>
      <c r="H57" s="6">
        <f t="shared" si="10"/>
      </c>
    </row>
    <row r="58" spans="2:8" ht="12.75">
      <c r="B58" s="5">
        <f t="shared" si="8"/>
        <v>47</v>
      </c>
      <c r="C58" s="84"/>
      <c r="D58" s="85"/>
      <c r="E58" s="86"/>
      <c r="F58" s="87"/>
      <c r="G58" s="6">
        <f t="shared" si="9"/>
      </c>
      <c r="H58" s="6">
        <f t="shared" si="10"/>
      </c>
    </row>
    <row r="59" spans="2:8" ht="12.75">
      <c r="B59" s="5">
        <f t="shared" si="8"/>
        <v>48</v>
      </c>
      <c r="C59" s="84"/>
      <c r="D59" s="85"/>
      <c r="E59" s="86"/>
      <c r="F59" s="87"/>
      <c r="G59" s="6">
        <f t="shared" si="9"/>
      </c>
      <c r="H59" s="6">
        <f t="shared" si="10"/>
      </c>
    </row>
    <row r="60" spans="2:8" ht="12.75">
      <c r="B60" s="5">
        <f t="shared" si="8"/>
        <v>49</v>
      </c>
      <c r="C60" s="84"/>
      <c r="D60" s="85"/>
      <c r="E60" s="86"/>
      <c r="F60" s="87"/>
      <c r="G60" s="6">
        <f t="shared" si="9"/>
      </c>
      <c r="H60" s="6">
        <f t="shared" si="10"/>
      </c>
    </row>
    <row r="61" spans="2:8" ht="12.75">
      <c r="B61" s="5">
        <f t="shared" si="8"/>
        <v>50</v>
      </c>
      <c r="C61" s="84"/>
      <c r="D61" s="85"/>
      <c r="E61" s="86"/>
      <c r="F61" s="87"/>
      <c r="G61" s="6">
        <f t="shared" si="9"/>
      </c>
      <c r="H61" s="6">
        <f t="shared" si="10"/>
      </c>
    </row>
    <row r="62" spans="2:8" ht="12.75">
      <c r="B62" s="5">
        <f aca="true" t="shared" si="11" ref="B62:B77">+B61+1</f>
        <v>51</v>
      </c>
      <c r="C62" s="84"/>
      <c r="D62" s="85"/>
      <c r="E62" s="86"/>
      <c r="F62" s="87"/>
      <c r="G62" s="6">
        <f t="shared" si="9"/>
      </c>
      <c r="H62" s="6">
        <f t="shared" si="10"/>
      </c>
    </row>
    <row r="63" spans="2:8" ht="12.75">
      <c r="B63" s="5">
        <f t="shared" si="11"/>
        <v>52</v>
      </c>
      <c r="C63" s="84"/>
      <c r="D63" s="85"/>
      <c r="E63" s="86"/>
      <c r="F63" s="87"/>
      <c r="G63" s="6">
        <f t="shared" si="9"/>
      </c>
      <c r="H63" s="6">
        <f t="shared" si="10"/>
      </c>
    </row>
    <row r="64" spans="2:8" ht="12.75">
      <c r="B64" s="5">
        <f t="shared" si="11"/>
        <v>53</v>
      </c>
      <c r="C64" s="84"/>
      <c r="D64" s="85"/>
      <c r="E64" s="86"/>
      <c r="F64" s="87"/>
      <c r="G64" s="6">
        <f t="shared" si="9"/>
      </c>
      <c r="H64" s="6">
        <f t="shared" si="10"/>
      </c>
    </row>
    <row r="65" spans="2:8" ht="12.75">
      <c r="B65" s="5">
        <f t="shared" si="11"/>
        <v>54</v>
      </c>
      <c r="C65" s="84"/>
      <c r="D65" s="85"/>
      <c r="E65" s="86"/>
      <c r="F65" s="87"/>
      <c r="G65" s="6">
        <f t="shared" si="9"/>
      </c>
      <c r="H65" s="6">
        <f t="shared" si="10"/>
      </c>
    </row>
    <row r="66" spans="2:8" ht="12.75">
      <c r="B66" s="5">
        <f t="shared" si="11"/>
        <v>55</v>
      </c>
      <c r="C66" s="84"/>
      <c r="D66" s="85"/>
      <c r="E66" s="86"/>
      <c r="F66" s="87"/>
      <c r="G66" s="6">
        <f t="shared" si="9"/>
      </c>
      <c r="H66" s="6">
        <f t="shared" si="10"/>
      </c>
    </row>
    <row r="67" spans="2:8" ht="12.75">
      <c r="B67" s="5">
        <f t="shared" si="11"/>
        <v>56</v>
      </c>
      <c r="C67" s="84"/>
      <c r="D67" s="85"/>
      <c r="E67" s="86"/>
      <c r="F67" s="87"/>
      <c r="G67" s="6">
        <f t="shared" si="9"/>
      </c>
      <c r="H67" s="6">
        <f t="shared" si="10"/>
      </c>
    </row>
    <row r="68" spans="2:8" ht="12.75">
      <c r="B68" s="5">
        <f t="shared" si="11"/>
        <v>57</v>
      </c>
      <c r="C68" s="84"/>
      <c r="D68" s="85"/>
      <c r="E68" s="86"/>
      <c r="F68" s="87"/>
      <c r="G68" s="6">
        <f t="shared" si="9"/>
      </c>
      <c r="H68" s="6">
        <f t="shared" si="10"/>
      </c>
    </row>
    <row r="69" spans="2:8" ht="12.75">
      <c r="B69" s="5">
        <f t="shared" si="11"/>
        <v>58</v>
      </c>
      <c r="C69" s="84"/>
      <c r="D69" s="85"/>
      <c r="E69" s="86"/>
      <c r="F69" s="87"/>
      <c r="G69" s="6">
        <f t="shared" si="9"/>
      </c>
      <c r="H69" s="6">
        <f t="shared" si="10"/>
      </c>
    </row>
    <row r="70" spans="2:8" ht="12.75">
      <c r="B70" s="5">
        <f t="shared" si="11"/>
        <v>59</v>
      </c>
      <c r="C70" s="84"/>
      <c r="D70" s="85"/>
      <c r="E70" s="86"/>
      <c r="F70" s="87"/>
      <c r="G70" s="6">
        <f t="shared" si="9"/>
      </c>
      <c r="H70" s="6">
        <f t="shared" si="10"/>
      </c>
    </row>
    <row r="71" spans="2:8" ht="12.75">
      <c r="B71" s="5">
        <f t="shared" si="11"/>
        <v>60</v>
      </c>
      <c r="C71" s="84"/>
      <c r="D71" s="85"/>
      <c r="E71" s="86"/>
      <c r="F71" s="87"/>
      <c r="G71" s="6">
        <f t="shared" si="9"/>
      </c>
      <c r="H71" s="6">
        <f t="shared" si="10"/>
      </c>
    </row>
    <row r="72" spans="2:8" ht="12.75">
      <c r="B72" s="5">
        <f t="shared" si="11"/>
        <v>61</v>
      </c>
      <c r="C72" s="84"/>
      <c r="D72" s="85"/>
      <c r="E72" s="86"/>
      <c r="F72" s="87"/>
      <c r="G72" s="6">
        <f t="shared" si="9"/>
      </c>
      <c r="H72" s="6">
        <f t="shared" si="10"/>
      </c>
    </row>
    <row r="73" spans="2:8" ht="12.75">
      <c r="B73" s="5">
        <f t="shared" si="11"/>
        <v>62</v>
      </c>
      <c r="C73" s="84"/>
      <c r="D73" s="85"/>
      <c r="E73" s="86"/>
      <c r="F73" s="87"/>
      <c r="G73" s="6">
        <f t="shared" si="9"/>
      </c>
      <c r="H73" s="6">
        <f t="shared" si="10"/>
      </c>
    </row>
    <row r="74" spans="2:8" ht="12.75">
      <c r="B74" s="5">
        <f t="shared" si="11"/>
        <v>63</v>
      </c>
      <c r="C74" s="84"/>
      <c r="D74" s="85"/>
      <c r="E74" s="86"/>
      <c r="F74" s="87"/>
      <c r="G74" s="6">
        <f t="shared" si="9"/>
      </c>
      <c r="H74" s="6">
        <f t="shared" si="10"/>
      </c>
    </row>
    <row r="75" spans="2:8" ht="12.75">
      <c r="B75" s="5">
        <f t="shared" si="11"/>
        <v>64</v>
      </c>
      <c r="C75" s="84"/>
      <c r="D75" s="85"/>
      <c r="E75" s="86"/>
      <c r="F75" s="87"/>
      <c r="G75" s="6">
        <f t="shared" si="9"/>
      </c>
      <c r="H75" s="6">
        <f t="shared" si="10"/>
      </c>
    </row>
    <row r="76" spans="2:8" ht="12.75">
      <c r="B76" s="5">
        <f t="shared" si="11"/>
        <v>65</v>
      </c>
      <c r="C76" s="84"/>
      <c r="D76" s="85"/>
      <c r="E76" s="86"/>
      <c r="F76" s="87"/>
      <c r="G76" s="6">
        <f t="shared" si="9"/>
      </c>
      <c r="H76" s="6">
        <f t="shared" si="10"/>
      </c>
    </row>
    <row r="77" spans="2:8" ht="12.75">
      <c r="B77" s="5">
        <f t="shared" si="11"/>
        <v>66</v>
      </c>
      <c r="C77" s="84"/>
      <c r="D77" s="85"/>
      <c r="E77" s="86"/>
      <c r="F77" s="87"/>
      <c r="G77" s="6">
        <f t="shared" si="9"/>
      </c>
      <c r="H77" s="6">
        <f t="shared" si="10"/>
      </c>
    </row>
    <row r="78" spans="2:8" ht="12.75">
      <c r="B78" s="5">
        <f aca="true" t="shared" si="12" ref="B78:B93">+B77+1</f>
        <v>67</v>
      </c>
      <c r="C78" s="84"/>
      <c r="D78" s="85"/>
      <c r="E78" s="86"/>
      <c r="F78" s="87"/>
      <c r="G78" s="6">
        <f t="shared" si="9"/>
      </c>
      <c r="H78" s="6">
        <f t="shared" si="10"/>
      </c>
    </row>
    <row r="79" spans="2:8" ht="12.75">
      <c r="B79" s="5">
        <f t="shared" si="12"/>
        <v>68</v>
      </c>
      <c r="C79" s="84"/>
      <c r="D79" s="85"/>
      <c r="E79" s="86"/>
      <c r="F79" s="87"/>
      <c r="G79" s="6">
        <f t="shared" si="9"/>
      </c>
      <c r="H79" s="6">
        <f t="shared" si="10"/>
      </c>
    </row>
    <row r="80" spans="2:8" ht="12.75">
      <c r="B80" s="5">
        <f t="shared" si="12"/>
        <v>69</v>
      </c>
      <c r="C80" s="84"/>
      <c r="D80" s="85"/>
      <c r="E80" s="86"/>
      <c r="F80" s="87"/>
      <c r="G80" s="6">
        <f t="shared" si="9"/>
      </c>
      <c r="H80" s="6">
        <f t="shared" si="10"/>
      </c>
    </row>
    <row r="81" spans="2:8" ht="12.75">
      <c r="B81" s="5">
        <f t="shared" si="12"/>
        <v>70</v>
      </c>
      <c r="C81" s="84"/>
      <c r="D81" s="85"/>
      <c r="E81" s="86"/>
      <c r="F81" s="87"/>
      <c r="G81" s="6">
        <f t="shared" si="9"/>
      </c>
      <c r="H81" s="6">
        <f t="shared" si="10"/>
      </c>
    </row>
    <row r="82" spans="2:8" ht="12.75">
      <c r="B82" s="5">
        <f t="shared" si="12"/>
        <v>71</v>
      </c>
      <c r="C82" s="84"/>
      <c r="D82" s="85"/>
      <c r="E82" s="86"/>
      <c r="F82" s="87"/>
      <c r="G82" s="6">
        <f t="shared" si="9"/>
      </c>
      <c r="H82" s="6">
        <f t="shared" si="10"/>
      </c>
    </row>
    <row r="83" spans="2:8" ht="12.75">
      <c r="B83" s="5">
        <f t="shared" si="12"/>
        <v>72</v>
      </c>
      <c r="C83" s="84"/>
      <c r="D83" s="85"/>
      <c r="E83" s="86"/>
      <c r="F83" s="87"/>
      <c r="G83" s="6">
        <f t="shared" si="9"/>
      </c>
      <c r="H83" s="6">
        <f t="shared" si="10"/>
      </c>
    </row>
    <row r="84" spans="2:8" ht="12.75">
      <c r="B84" s="5">
        <f t="shared" si="12"/>
        <v>73</v>
      </c>
      <c r="C84" s="84"/>
      <c r="D84" s="85"/>
      <c r="E84" s="86"/>
      <c r="F84" s="87"/>
      <c r="G84" s="6">
        <f t="shared" si="9"/>
      </c>
      <c r="H84" s="6">
        <f t="shared" si="10"/>
      </c>
    </row>
    <row r="85" spans="2:8" ht="12.75">
      <c r="B85" s="5">
        <f t="shared" si="12"/>
        <v>74</v>
      </c>
      <c r="C85" s="84"/>
      <c r="D85" s="85"/>
      <c r="E85" s="86"/>
      <c r="F85" s="87"/>
      <c r="G85" s="6">
        <f t="shared" si="9"/>
      </c>
      <c r="H85" s="6">
        <f t="shared" si="10"/>
      </c>
    </row>
    <row r="86" spans="2:8" ht="12.75">
      <c r="B86" s="5">
        <f t="shared" si="12"/>
        <v>75</v>
      </c>
      <c r="C86" s="84"/>
      <c r="D86" s="85"/>
      <c r="E86" s="86"/>
      <c r="F86" s="87"/>
      <c r="G86" s="6">
        <f t="shared" si="9"/>
      </c>
      <c r="H86" s="6">
        <f t="shared" si="10"/>
      </c>
    </row>
    <row r="87" spans="2:8" ht="12.75">
      <c r="B87" s="5">
        <f t="shared" si="12"/>
        <v>76</v>
      </c>
      <c r="C87" s="84"/>
      <c r="D87" s="85"/>
      <c r="E87" s="86"/>
      <c r="F87" s="87"/>
      <c r="G87" s="6">
        <f t="shared" si="9"/>
      </c>
      <c r="H87" s="6">
        <f t="shared" si="10"/>
      </c>
    </row>
    <row r="88" spans="2:8" ht="12.75">
      <c r="B88" s="5">
        <f t="shared" si="12"/>
        <v>77</v>
      </c>
      <c r="C88" s="84"/>
      <c r="D88" s="85"/>
      <c r="E88" s="86"/>
      <c r="F88" s="87"/>
      <c r="G88" s="6">
        <f t="shared" si="9"/>
      </c>
      <c r="H88" s="6">
        <f t="shared" si="10"/>
      </c>
    </row>
    <row r="89" spans="2:8" ht="12.75">
      <c r="B89" s="5">
        <f t="shared" si="12"/>
        <v>78</v>
      </c>
      <c r="C89" s="84"/>
      <c r="D89" s="85"/>
      <c r="E89" s="86"/>
      <c r="F89" s="87"/>
      <c r="G89" s="6">
        <f t="shared" si="9"/>
      </c>
      <c r="H89" s="6">
        <f t="shared" si="10"/>
      </c>
    </row>
    <row r="90" spans="2:8" ht="12.75">
      <c r="B90" s="5">
        <f t="shared" si="12"/>
        <v>79</v>
      </c>
      <c r="C90" s="84"/>
      <c r="D90" s="85"/>
      <c r="E90" s="86"/>
      <c r="F90" s="87"/>
      <c r="G90" s="6">
        <f t="shared" si="9"/>
      </c>
      <c r="H90" s="6">
        <f t="shared" si="10"/>
      </c>
    </row>
    <row r="91" spans="2:8" ht="12.75">
      <c r="B91" s="5">
        <f t="shared" si="12"/>
        <v>80</v>
      </c>
      <c r="C91" s="84"/>
      <c r="D91" s="85"/>
      <c r="E91" s="86"/>
      <c r="F91" s="87"/>
      <c r="G91" s="6">
        <f t="shared" si="9"/>
      </c>
      <c r="H91" s="6">
        <f t="shared" si="10"/>
      </c>
    </row>
    <row r="92" spans="2:8" ht="12.75">
      <c r="B92" s="5">
        <f t="shared" si="12"/>
        <v>81</v>
      </c>
      <c r="C92" s="84"/>
      <c r="D92" s="85"/>
      <c r="E92" s="86"/>
      <c r="F92" s="87"/>
      <c r="G92" s="6">
        <f t="shared" si="9"/>
      </c>
      <c r="H92" s="6">
        <f t="shared" si="10"/>
      </c>
    </row>
    <row r="93" spans="2:8" ht="12.75">
      <c r="B93" s="5">
        <f t="shared" si="12"/>
        <v>82</v>
      </c>
      <c r="C93" s="84"/>
      <c r="D93" s="85"/>
      <c r="E93" s="86"/>
      <c r="F93" s="87"/>
      <c r="G93" s="6">
        <f t="shared" si="9"/>
      </c>
      <c r="H93" s="6">
        <f t="shared" si="10"/>
      </c>
    </row>
    <row r="94" spans="2:8" ht="12.75">
      <c r="B94" s="5">
        <f aca="true" t="shared" si="13" ref="B94:B109">+B93+1</f>
        <v>83</v>
      </c>
      <c r="C94" s="84"/>
      <c r="D94" s="85"/>
      <c r="E94" s="86"/>
      <c r="F94" s="87"/>
      <c r="G94" s="6">
        <f t="shared" si="9"/>
      </c>
      <c r="H94" s="6">
        <f t="shared" si="10"/>
      </c>
    </row>
    <row r="95" spans="2:8" ht="12.75">
      <c r="B95" s="5">
        <f t="shared" si="13"/>
        <v>84</v>
      </c>
      <c r="C95" s="84"/>
      <c r="D95" s="85"/>
      <c r="E95" s="86"/>
      <c r="F95" s="87"/>
      <c r="G95" s="6">
        <f t="shared" si="9"/>
      </c>
      <c r="H95" s="6">
        <f t="shared" si="10"/>
      </c>
    </row>
    <row r="96" spans="2:8" ht="12.75">
      <c r="B96" s="5">
        <f t="shared" si="13"/>
        <v>85</v>
      </c>
      <c r="C96" s="84"/>
      <c r="D96" s="85"/>
      <c r="E96" s="86"/>
      <c r="F96" s="87"/>
      <c r="G96" s="6">
        <f t="shared" si="9"/>
      </c>
      <c r="H96" s="6">
        <f t="shared" si="10"/>
      </c>
    </row>
    <row r="97" spans="2:8" ht="12.75">
      <c r="B97" s="5">
        <f t="shared" si="13"/>
        <v>86</v>
      </c>
      <c r="C97" s="84"/>
      <c r="D97" s="85"/>
      <c r="E97" s="86"/>
      <c r="F97" s="87"/>
      <c r="G97" s="6">
        <f t="shared" si="9"/>
      </c>
      <c r="H97" s="6">
        <f t="shared" si="10"/>
      </c>
    </row>
    <row r="98" spans="2:8" ht="12.75">
      <c r="B98" s="5">
        <f t="shared" si="13"/>
        <v>87</v>
      </c>
      <c r="C98" s="84"/>
      <c r="D98" s="85"/>
      <c r="E98" s="86"/>
      <c r="F98" s="87"/>
      <c r="G98" s="6">
        <f t="shared" si="9"/>
      </c>
      <c r="H98" s="6">
        <f t="shared" si="10"/>
      </c>
    </row>
    <row r="99" spans="2:8" ht="12.75">
      <c r="B99" s="5">
        <f t="shared" si="13"/>
        <v>88</v>
      </c>
      <c r="C99" s="84"/>
      <c r="D99" s="85"/>
      <c r="E99" s="86"/>
      <c r="F99" s="87"/>
      <c r="G99" s="6">
        <f t="shared" si="9"/>
      </c>
      <c r="H99" s="6">
        <f t="shared" si="10"/>
      </c>
    </row>
    <row r="100" spans="2:8" ht="12.75">
      <c r="B100" s="5">
        <f t="shared" si="13"/>
        <v>89</v>
      </c>
      <c r="C100" s="84"/>
      <c r="D100" s="85"/>
      <c r="E100" s="86"/>
      <c r="F100" s="87"/>
      <c r="G100" s="6">
        <f t="shared" si="9"/>
      </c>
      <c r="H100" s="6">
        <f t="shared" si="10"/>
      </c>
    </row>
    <row r="101" spans="2:8" ht="12.75">
      <c r="B101" s="5">
        <f t="shared" si="13"/>
        <v>90</v>
      </c>
      <c r="C101" s="84"/>
      <c r="D101" s="85"/>
      <c r="E101" s="86"/>
      <c r="F101" s="87"/>
      <c r="G101" s="6">
        <f t="shared" si="9"/>
      </c>
      <c r="H101" s="6">
        <f t="shared" si="10"/>
      </c>
    </row>
    <row r="102" spans="2:8" ht="12.75">
      <c r="B102" s="5">
        <f t="shared" si="13"/>
        <v>91</v>
      </c>
      <c r="C102" s="84"/>
      <c r="D102" s="85"/>
      <c r="E102" s="86"/>
      <c r="F102" s="87"/>
      <c r="G102" s="6">
        <f t="shared" si="9"/>
      </c>
      <c r="H102" s="6">
        <f t="shared" si="10"/>
      </c>
    </row>
    <row r="103" spans="2:8" ht="12.75">
      <c r="B103" s="5">
        <f t="shared" si="13"/>
        <v>92</v>
      </c>
      <c r="C103" s="84"/>
      <c r="D103" s="85"/>
      <c r="E103" s="86"/>
      <c r="F103" s="87"/>
      <c r="G103" s="6">
        <f t="shared" si="9"/>
      </c>
      <c r="H103" s="6">
        <f t="shared" si="10"/>
      </c>
    </row>
    <row r="104" spans="2:8" ht="12.75">
      <c r="B104" s="5">
        <f t="shared" si="13"/>
        <v>93</v>
      </c>
      <c r="C104" s="84"/>
      <c r="D104" s="85"/>
      <c r="E104" s="86"/>
      <c r="F104" s="87"/>
      <c r="G104" s="6">
        <f t="shared" si="9"/>
      </c>
      <c r="H104" s="6">
        <f t="shared" si="10"/>
      </c>
    </row>
    <row r="105" spans="2:8" ht="12.75">
      <c r="B105" s="5">
        <f t="shared" si="13"/>
        <v>94</v>
      </c>
      <c r="C105" s="84"/>
      <c r="D105" s="85"/>
      <c r="E105" s="86"/>
      <c r="F105" s="87"/>
      <c r="G105" s="6">
        <f t="shared" si="9"/>
      </c>
      <c r="H105" s="6">
        <f t="shared" si="10"/>
      </c>
    </row>
    <row r="106" spans="2:8" ht="12.75">
      <c r="B106" s="5">
        <f t="shared" si="13"/>
        <v>95</v>
      </c>
      <c r="C106" s="84"/>
      <c r="D106" s="85"/>
      <c r="E106" s="86"/>
      <c r="F106" s="87"/>
      <c r="G106" s="6">
        <f t="shared" si="9"/>
      </c>
      <c r="H106" s="6">
        <f t="shared" si="10"/>
      </c>
    </row>
    <row r="107" spans="2:8" ht="12.75">
      <c r="B107" s="5">
        <f t="shared" si="13"/>
        <v>96</v>
      </c>
      <c r="C107" s="84"/>
      <c r="D107" s="85"/>
      <c r="E107" s="86"/>
      <c r="F107" s="87"/>
      <c r="G107" s="6">
        <f t="shared" si="9"/>
      </c>
      <c r="H107" s="6">
        <f t="shared" si="10"/>
      </c>
    </row>
    <row r="108" spans="2:8" ht="12.75">
      <c r="B108" s="5">
        <f t="shared" si="13"/>
        <v>97</v>
      </c>
      <c r="C108" s="84"/>
      <c r="D108" s="85"/>
      <c r="E108" s="86"/>
      <c r="F108" s="87"/>
      <c r="G108" s="6">
        <f t="shared" si="9"/>
      </c>
      <c r="H108" s="6">
        <f t="shared" si="10"/>
      </c>
    </row>
    <row r="109" spans="2:8" ht="12.75">
      <c r="B109" s="5">
        <f t="shared" si="13"/>
        <v>98</v>
      </c>
      <c r="C109" s="84"/>
      <c r="D109" s="85"/>
      <c r="E109" s="86"/>
      <c r="F109" s="87"/>
      <c r="G109" s="6">
        <f>IF(E109&lt;&gt;0,+E109/100*D109/6.25,"")</f>
      </c>
      <c r="H109" s="6">
        <f>IF(F109&lt;&gt;0,+F109/100*D109,"")</f>
      </c>
    </row>
    <row r="110" spans="2:8" ht="12.75">
      <c r="B110" s="5">
        <f>+B109+1</f>
        <v>99</v>
      </c>
      <c r="C110" s="84"/>
      <c r="D110" s="85"/>
      <c r="E110" s="86"/>
      <c r="F110" s="87"/>
      <c r="G110" s="6">
        <f>IF(E110&lt;&gt;0,+E110/100*D110/6.25,"")</f>
      </c>
      <c r="H110" s="6">
        <f>IF(F110&lt;&gt;0,+F110/100*D110,"")</f>
      </c>
    </row>
    <row r="111" spans="2:8" ht="12.75">
      <c r="B111" s="5">
        <f>+B110+1</f>
        <v>100</v>
      </c>
      <c r="C111" s="84"/>
      <c r="D111" s="85"/>
      <c r="E111" s="86"/>
      <c r="F111" s="87"/>
      <c r="G111" s="6">
        <f>IF(E111&lt;&gt;0,+E111/100*D111/6.25,"")</f>
      </c>
      <c r="H111" s="6">
        <f>IF(F111&lt;&gt;0,+F111/100*D111,"")</f>
      </c>
    </row>
    <row r="112" spans="3:8" ht="12.75">
      <c r="C112" s="84"/>
      <c r="D112" s="85"/>
      <c r="E112" s="86"/>
      <c r="F112" s="87"/>
      <c r="G112" s="6">
        <f>IF(E112&lt;&gt;0,+E112/100*D112/6.25,"")</f>
      </c>
      <c r="H112" s="6">
        <f>IF(F112&lt;&gt;0,+F112/100*D112,"")</f>
      </c>
    </row>
    <row r="113" spans="3:8" ht="12.75">
      <c r="C113" s="84"/>
      <c r="D113" s="85"/>
      <c r="E113" s="86"/>
      <c r="F113" s="87"/>
      <c r="G113" s="6">
        <f>IF(E113&lt;&gt;0,+E113/100*D113/6.25,"")</f>
      </c>
      <c r="H113" s="6">
        <f>IF(F113&lt;&gt;0,+F113/100*D113,"")</f>
      </c>
    </row>
  </sheetData>
  <sheetProtection password="DBD9" sheet="1" objects="1" scenarios="1"/>
  <printOptions/>
  <pageMargins left="0.3937007874015748" right="0.3937007874015748" top="0.984251968503937" bottom="0.984251968503937" header="0.5118110236220472" footer="0.5118110236220472"/>
  <pageSetup horizontalDpi="300" verticalDpi="300" orientation="portrait" r:id="rId1"/>
  <headerFooter alignWithMargins="0">
    <oddHeader>&amp;L&amp;"Arial,Gras"Estimation des rejets
d'azote et de phosphore&amp;C&amp;"Arial,Gras"&amp;14Aliments achetés&amp;RCorpen modifié
pour le Québec
</oddHeader>
    <oddFooter>&amp;R&amp;F -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M54"/>
  <sheetViews>
    <sheetView showGridLines="0" showRowColHeaders="0" showZeros="0" showOutlineSymbols="0" zoomScale="80" zoomScaleNormal="80" workbookViewId="0" topLeftCell="A1">
      <selection activeCell="C16" sqref="C16"/>
    </sheetView>
  </sheetViews>
  <sheetFormatPr defaultColWidth="11.421875" defaultRowHeight="12.75"/>
  <cols>
    <col min="1" max="1" width="6.7109375" style="0" customWidth="1"/>
    <col min="2" max="2" width="29.140625" style="0" customWidth="1"/>
    <col min="3" max="3" width="11.8515625" style="0" customWidth="1"/>
    <col min="4" max="5" width="10.28125" style="0" customWidth="1"/>
    <col min="6" max="7" width="11.140625" style="0" customWidth="1"/>
    <col min="8" max="8" width="10.28125" style="0" hidden="1" customWidth="1"/>
    <col min="9" max="9" width="0" style="0" hidden="1" customWidth="1"/>
    <col min="10" max="10" width="0" style="245" hidden="1" customWidth="1"/>
    <col min="11" max="11" width="12.421875" style="245" hidden="1" customWidth="1"/>
    <col min="12" max="12" width="0" style="245" hidden="1" customWidth="1"/>
    <col min="13" max="13" width="0" style="0" hidden="1" customWidth="1"/>
  </cols>
  <sheetData>
    <row r="1" spans="1:8" ht="12.75">
      <c r="A1" s="41"/>
      <c r="B1" s="41"/>
      <c r="C1" s="41"/>
      <c r="D1" s="41"/>
      <c r="E1" s="41"/>
      <c r="F1" s="41"/>
      <c r="G1" s="41"/>
      <c r="H1" s="41"/>
    </row>
    <row r="2" spans="1:7" ht="12.75">
      <c r="A2" s="41"/>
      <c r="B2" s="38" t="s">
        <v>14</v>
      </c>
      <c r="C2" s="106">
        <f>IF(Elevage!C2&lt;&gt;0,Elevage!C2,"")</f>
      </c>
      <c r="D2" s="10"/>
      <c r="E2" s="10"/>
      <c r="F2" s="10"/>
      <c r="G2" s="11"/>
    </row>
    <row r="3" spans="1:7" ht="12.75">
      <c r="A3" s="41"/>
      <c r="B3" s="39" t="s">
        <v>15</v>
      </c>
      <c r="C3" s="8">
        <f>IF(Elevage!D3&lt;&gt;0,Elevage!D3,"")</f>
      </c>
      <c r="D3" s="12"/>
      <c r="E3" s="12"/>
      <c r="F3" s="12"/>
      <c r="G3" s="13"/>
    </row>
    <row r="4" spans="1:7" ht="12.75">
      <c r="A4" s="41"/>
      <c r="B4" s="39"/>
      <c r="C4" s="8">
        <f>IF(Elevage!C4&lt;&gt;0,Elevage!C4,"")</f>
      </c>
      <c r="D4" s="12"/>
      <c r="E4" s="12"/>
      <c r="F4" s="12"/>
      <c r="G4" s="13"/>
    </row>
    <row r="5" spans="1:7" ht="12.75">
      <c r="A5" s="41"/>
      <c r="B5" s="40"/>
      <c r="C5" s="107">
        <f>IF(Elevage!C5&lt;&gt;0,Elevage!C5,"")</f>
      </c>
      <c r="D5" s="14"/>
      <c r="E5" s="14"/>
      <c r="F5" s="14"/>
      <c r="G5" s="15"/>
    </row>
    <row r="6" spans="1:8" ht="12.75">
      <c r="A6" s="41"/>
      <c r="B6" s="41"/>
      <c r="C6" s="41"/>
      <c r="D6" s="41"/>
      <c r="E6" s="41"/>
      <c r="F6" s="41"/>
      <c r="G6" s="41"/>
      <c r="H6" s="41"/>
    </row>
    <row r="7" spans="1:8" ht="12.75">
      <c r="A7" s="41"/>
      <c r="B7" s="42" t="s">
        <v>48</v>
      </c>
      <c r="C7" s="41"/>
      <c r="D7" s="41"/>
      <c r="E7" s="41"/>
      <c r="F7" s="41"/>
      <c r="G7" s="41"/>
      <c r="H7" s="41"/>
    </row>
    <row r="8" spans="1:8" ht="12.75">
      <c r="A8" s="41"/>
      <c r="B8" s="41"/>
      <c r="C8" s="41"/>
      <c r="D8" s="41"/>
      <c r="E8" s="41"/>
      <c r="F8" s="41"/>
      <c r="G8" s="41"/>
      <c r="H8" s="41"/>
    </row>
    <row r="9" spans="1:8" ht="12.75">
      <c r="A9" s="41"/>
      <c r="B9" s="47" t="s">
        <v>49</v>
      </c>
      <c r="C9" s="1">
        <f>Elevage!I9</f>
        <v>37622</v>
      </c>
      <c r="D9" s="41"/>
      <c r="E9" s="49" t="s">
        <v>104</v>
      </c>
      <c r="F9" s="138"/>
      <c r="G9" s="26"/>
      <c r="H9" s="41"/>
    </row>
    <row r="10" spans="1:8" ht="12.75">
      <c r="A10" s="41"/>
      <c r="B10" s="36" t="s">
        <v>50</v>
      </c>
      <c r="C10" s="2">
        <f>Elevage!I10</f>
        <v>37986</v>
      </c>
      <c r="D10" s="41"/>
      <c r="E10" s="136"/>
      <c r="F10" s="46" t="s">
        <v>105</v>
      </c>
      <c r="G10" s="137" t="s">
        <v>173</v>
      </c>
      <c r="H10" s="41"/>
    </row>
    <row r="11" spans="1:8" ht="12.75">
      <c r="A11" s="41"/>
      <c r="B11" s="37" t="s">
        <v>22</v>
      </c>
      <c r="C11" s="3">
        <f>+C10-C9+1</f>
        <v>365</v>
      </c>
      <c r="D11" s="41"/>
      <c r="E11" s="132" t="s">
        <v>168</v>
      </c>
      <c r="F11" s="311" t="str">
        <f>IF(C12&gt;0,Achats_Aliments!D12/C12," ")</f>
        <v> </v>
      </c>
      <c r="G11" s="27"/>
      <c r="H11" s="41"/>
    </row>
    <row r="12" spans="1:8" ht="12.75">
      <c r="A12" s="41"/>
      <c r="B12" s="44" t="s">
        <v>170</v>
      </c>
      <c r="C12" s="55">
        <f>Elevage!J26</f>
        <v>0</v>
      </c>
      <c r="D12" s="41"/>
      <c r="E12" s="132" t="s">
        <v>169</v>
      </c>
      <c r="F12" s="311">
        <f>IF(Achats_Aliments!D25&gt;0,Achats_Aliments!D25/C13,0)</f>
        <v>0</v>
      </c>
      <c r="G12" s="133">
        <f>IF(F12&gt;0,F12/(Elevage!P41/C13),0)</f>
        <v>0</v>
      </c>
      <c r="H12" s="41"/>
    </row>
    <row r="13" spans="1:8" ht="12.75">
      <c r="A13" s="41"/>
      <c r="B13" s="44" t="s">
        <v>166</v>
      </c>
      <c r="C13" s="55">
        <f>Elevage!K26</f>
        <v>0</v>
      </c>
      <c r="D13" s="41"/>
      <c r="E13" s="134" t="s">
        <v>167</v>
      </c>
      <c r="F13" s="318">
        <f>IF(Achats_Aliments!D38&gt;0,Achats_Aliments!D38/C14,0)</f>
        <v>0</v>
      </c>
      <c r="G13" s="135">
        <f>IF(F13&gt;0,F13/(Elevage!Q41/C14),0)</f>
        <v>0</v>
      </c>
      <c r="H13" s="41"/>
    </row>
    <row r="14" spans="1:8" ht="12.75">
      <c r="A14" s="41"/>
      <c r="B14" s="44" t="s">
        <v>171</v>
      </c>
      <c r="C14" s="55">
        <f>Elevage!L26</f>
        <v>0</v>
      </c>
      <c r="D14" s="41"/>
      <c r="E14" s="41"/>
      <c r="F14" s="41"/>
      <c r="G14" s="41"/>
      <c r="H14" s="41"/>
    </row>
    <row r="15" spans="1:8" ht="12.75">
      <c r="A15" s="41"/>
      <c r="B15" s="44" t="s">
        <v>172</v>
      </c>
      <c r="C15" s="319">
        <f>IF(C12&gt;0,Elevage!I42/C12,0)</f>
        <v>0</v>
      </c>
      <c r="D15" s="41"/>
      <c r="E15" s="41"/>
      <c r="F15" s="41"/>
      <c r="G15" s="41"/>
      <c r="H15" s="41"/>
    </row>
    <row r="16" spans="1:8" ht="12.75">
      <c r="A16" s="41"/>
      <c r="B16" s="267"/>
      <c r="C16" s="268"/>
      <c r="D16" s="41"/>
      <c r="E16" s="41"/>
      <c r="F16" s="41"/>
      <c r="G16" s="41"/>
      <c r="H16" s="41"/>
    </row>
    <row r="17" spans="1:8" ht="12.75">
      <c r="A17" s="41"/>
      <c r="B17" s="42" t="s">
        <v>51</v>
      </c>
      <c r="C17" s="41"/>
      <c r="D17" s="41"/>
      <c r="E17" s="48"/>
      <c r="F17" s="41"/>
      <c r="G17" s="41"/>
      <c r="H17" s="41"/>
    </row>
    <row r="18" spans="1:8" ht="12.75">
      <c r="A18" s="41"/>
      <c r="B18" s="44" t="s">
        <v>53</v>
      </c>
      <c r="C18" s="44" t="s">
        <v>52</v>
      </c>
      <c r="D18" s="44" t="s">
        <v>174</v>
      </c>
      <c r="E18" s="41"/>
      <c r="F18" s="41"/>
      <c r="G18" s="41"/>
      <c r="H18" s="41"/>
    </row>
    <row r="19" spans="1:8" ht="12.75">
      <c r="A19" s="41"/>
      <c r="B19" s="308" t="s">
        <v>82</v>
      </c>
      <c r="C19" s="256">
        <v>30</v>
      </c>
      <c r="D19" s="256">
        <v>10</v>
      </c>
      <c r="E19" s="41"/>
      <c r="F19" s="41"/>
      <c r="G19" s="41"/>
      <c r="H19" s="41"/>
    </row>
    <row r="20" spans="1:8" ht="12.75">
      <c r="A20" s="41"/>
      <c r="B20" s="309" t="s">
        <v>177</v>
      </c>
      <c r="C20" s="178">
        <v>20</v>
      </c>
      <c r="D20" s="180">
        <v>10</v>
      </c>
      <c r="E20" s="41"/>
      <c r="F20" s="41"/>
      <c r="G20" s="41"/>
      <c r="H20" s="41"/>
    </row>
    <row r="21" spans="1:8" ht="12.75">
      <c r="A21" s="41"/>
      <c r="B21" s="41"/>
      <c r="C21" s="41"/>
      <c r="D21" s="41"/>
      <c r="E21" s="41"/>
      <c r="F21" s="41"/>
      <c r="G21" s="41"/>
      <c r="H21" s="41"/>
    </row>
    <row r="22" spans="1:4" ht="12.75">
      <c r="A22" s="41"/>
      <c r="B22" s="41"/>
      <c r="C22" s="49" t="s">
        <v>41</v>
      </c>
      <c r="D22" s="45" t="s">
        <v>41</v>
      </c>
    </row>
    <row r="23" spans="1:4" ht="12.75">
      <c r="A23" s="41"/>
      <c r="B23" s="41"/>
      <c r="C23" s="46" t="s">
        <v>29</v>
      </c>
      <c r="D23" s="46" t="s">
        <v>54</v>
      </c>
    </row>
    <row r="24" spans="1:13" ht="12.75">
      <c r="A24" s="41"/>
      <c r="B24" s="51" t="s">
        <v>55</v>
      </c>
      <c r="C24" s="55">
        <f>E44</f>
        <v>0</v>
      </c>
      <c r="D24" s="4" t="s">
        <v>36</v>
      </c>
      <c r="K24" s="245" t="s">
        <v>181</v>
      </c>
      <c r="L24" s="245" t="s">
        <v>183</v>
      </c>
      <c r="M24" t="s">
        <v>184</v>
      </c>
    </row>
    <row r="25" spans="1:12" ht="12.75">
      <c r="A25" s="41"/>
      <c r="B25" s="51" t="s">
        <v>175</v>
      </c>
      <c r="C25" s="55">
        <f>E52</f>
        <v>0</v>
      </c>
      <c r="D25" s="53" t="e">
        <f>C25/$C$24</f>
        <v>#DIV/0!</v>
      </c>
      <c r="J25" s="245" t="s">
        <v>182</v>
      </c>
      <c r="K25" s="269">
        <f>Achats_Aliments!G12-C25-Elevage!J31+Elevage!M31</f>
        <v>0</v>
      </c>
      <c r="L25" s="269">
        <f>(Achats_Aliments!G25+Achats_Aliments!G38)-(E48-Elevage!J31+Elevage!M31)</f>
        <v>0</v>
      </c>
    </row>
    <row r="26" spans="1:12" ht="12.75">
      <c r="A26" s="41"/>
      <c r="B26" s="51" t="s">
        <v>167</v>
      </c>
      <c r="C26" s="55">
        <f>E48</f>
        <v>0</v>
      </c>
      <c r="D26" s="53" t="e">
        <f>C26/$C$24</f>
        <v>#DIV/0!</v>
      </c>
      <c r="J26" s="245" t="s">
        <v>42</v>
      </c>
      <c r="K26" s="245" t="e">
        <f>K25/C27</f>
        <v>#DIV/0!</v>
      </c>
      <c r="L26" s="245" t="e">
        <f>L25/C27</f>
        <v>#DIV/0!</v>
      </c>
    </row>
    <row r="27" spans="1:8" ht="12.75">
      <c r="A27" s="41"/>
      <c r="B27" s="51" t="s">
        <v>56</v>
      </c>
      <c r="C27" s="55">
        <f>C24-C25-C26</f>
        <v>0</v>
      </c>
      <c r="D27" s="53" t="e">
        <f>C27/$C$24</f>
        <v>#DIV/0!</v>
      </c>
      <c r="E27" s="52"/>
      <c r="F27" s="52"/>
      <c r="G27" s="41"/>
      <c r="H27" s="41"/>
    </row>
    <row r="28" spans="1:8" ht="12.75">
      <c r="A28" s="41"/>
      <c r="B28" s="51" t="s">
        <v>57</v>
      </c>
      <c r="C28" s="55" t="e">
        <f>IF(K26=1,C27*0.37,K25*0.37+L25*0.28)</f>
        <v>#DIV/0!</v>
      </c>
      <c r="D28" s="53" t="e">
        <f>C28/$C$24</f>
        <v>#DIV/0!</v>
      </c>
      <c r="E28" s="52"/>
      <c r="F28" s="52"/>
      <c r="G28" s="41"/>
      <c r="H28" s="41"/>
    </row>
    <row r="29" spans="1:8" ht="12.75">
      <c r="A29" s="41"/>
      <c r="B29" s="51" t="s">
        <v>58</v>
      </c>
      <c r="C29" s="275" t="e">
        <f>C27-C28</f>
        <v>#DIV/0!</v>
      </c>
      <c r="D29" s="53" t="e">
        <f>C29/$C$24</f>
        <v>#DIV/0!</v>
      </c>
      <c r="E29" s="48"/>
      <c r="F29" s="48"/>
      <c r="G29" s="41"/>
      <c r="H29" s="41"/>
    </row>
    <row r="30" spans="1:8" ht="12.75">
      <c r="A30" s="41"/>
      <c r="B30" s="41"/>
      <c r="C30" s="41"/>
      <c r="D30" s="41"/>
      <c r="E30" s="54"/>
      <c r="F30" s="54"/>
      <c r="G30" s="41"/>
      <c r="H30" s="41"/>
    </row>
    <row r="31" spans="1:8" ht="12.75">
      <c r="A31" s="41"/>
      <c r="B31" s="42" t="s">
        <v>59</v>
      </c>
      <c r="C31" s="41"/>
      <c r="D31" s="41"/>
      <c r="E31" s="41"/>
      <c r="F31" s="41"/>
      <c r="G31" s="41"/>
      <c r="H31" s="41"/>
    </row>
    <row r="32" spans="1:8" ht="12.75">
      <c r="A32" s="41"/>
      <c r="B32" s="41"/>
      <c r="C32" s="45" t="s">
        <v>40</v>
      </c>
      <c r="D32" s="45" t="s">
        <v>60</v>
      </c>
      <c r="E32" s="45"/>
      <c r="F32" s="50"/>
      <c r="G32" s="50"/>
      <c r="H32" s="41"/>
    </row>
    <row r="33" spans="1:8" ht="12.75">
      <c r="A33" s="41"/>
      <c r="B33" s="41"/>
      <c r="C33" s="46" t="s">
        <v>29</v>
      </c>
      <c r="D33" s="46" t="s">
        <v>29</v>
      </c>
      <c r="E33" s="46" t="s">
        <v>54</v>
      </c>
      <c r="F33" s="50"/>
      <c r="G33" s="50"/>
      <c r="H33" s="41"/>
    </row>
    <row r="34" spans="1:8" ht="12.75">
      <c r="A34" s="41"/>
      <c r="B34" s="51" t="s">
        <v>55</v>
      </c>
      <c r="C34" s="55">
        <f>E45</f>
        <v>0</v>
      </c>
      <c r="D34" s="55" t="s">
        <v>36</v>
      </c>
      <c r="E34" s="51"/>
      <c r="F34" s="52"/>
      <c r="G34" s="52"/>
      <c r="H34" s="41"/>
    </row>
    <row r="35" spans="1:8" ht="12.75">
      <c r="A35" s="41"/>
      <c r="B35" s="51" t="s">
        <v>175</v>
      </c>
      <c r="C35" s="55">
        <f>E53</f>
        <v>0</v>
      </c>
      <c r="D35" s="55" t="s">
        <v>36</v>
      </c>
      <c r="E35" s="56" t="e">
        <f>C35/$C$34</f>
        <v>#DIV/0!</v>
      </c>
      <c r="F35" s="52"/>
      <c r="G35" s="52"/>
      <c r="H35" s="41"/>
    </row>
    <row r="36" spans="1:8" ht="12.75">
      <c r="A36" s="41"/>
      <c r="B36" s="51" t="s">
        <v>167</v>
      </c>
      <c r="C36" s="55">
        <f>E49</f>
        <v>0</v>
      </c>
      <c r="D36" s="55" t="s">
        <v>36</v>
      </c>
      <c r="E36" s="56" t="e">
        <f>C36/$C$34</f>
        <v>#DIV/0!</v>
      </c>
      <c r="F36" s="52"/>
      <c r="G36" s="52"/>
      <c r="H36" s="41"/>
    </row>
    <row r="37" spans="1:8" ht="12.75">
      <c r="A37" s="41"/>
      <c r="B37" s="51" t="s">
        <v>58</v>
      </c>
      <c r="C37" s="55">
        <f>C34-C35-C36</f>
        <v>0</v>
      </c>
      <c r="D37" s="275">
        <f>2.2909*C37</f>
        <v>0</v>
      </c>
      <c r="E37" s="56" t="e">
        <f>C37/$C$34</f>
        <v>#DIV/0!</v>
      </c>
      <c r="F37" s="48"/>
      <c r="G37" s="48"/>
      <c r="H37" s="41"/>
    </row>
    <row r="38" spans="1:8" ht="12.75">
      <c r="A38" s="41"/>
      <c r="B38" s="41"/>
      <c r="C38" s="41"/>
      <c r="D38" s="41"/>
      <c r="E38" s="41"/>
      <c r="F38" s="54"/>
      <c r="G38" s="54"/>
      <c r="H38" s="41"/>
    </row>
    <row r="39" spans="1:8" ht="12.75">
      <c r="A39" s="41"/>
      <c r="B39" s="41"/>
      <c r="C39" s="41"/>
      <c r="D39" s="41"/>
      <c r="E39" s="41"/>
      <c r="F39" s="41"/>
      <c r="G39" s="41"/>
      <c r="H39" s="41"/>
    </row>
    <row r="40" spans="1:8" ht="12.75">
      <c r="A40" s="41"/>
      <c r="B40" s="42" t="s">
        <v>61</v>
      </c>
      <c r="C40" s="41"/>
      <c r="D40" s="41"/>
      <c r="E40" s="41"/>
      <c r="F40" s="41"/>
      <c r="G40" s="41"/>
      <c r="H40" s="41"/>
    </row>
    <row r="41" spans="1:6" ht="12.75">
      <c r="A41" s="41"/>
      <c r="B41" s="16"/>
      <c r="C41" s="43" t="s">
        <v>62</v>
      </c>
      <c r="D41" s="43" t="s">
        <v>63</v>
      </c>
      <c r="E41" s="57" t="s">
        <v>64</v>
      </c>
      <c r="F41" s="58"/>
    </row>
    <row r="42" spans="1:6" ht="12.75">
      <c r="A42" s="41"/>
      <c r="B42" s="36" t="s">
        <v>65</v>
      </c>
      <c r="C42" s="59"/>
      <c r="D42" s="59"/>
      <c r="E42" s="132"/>
      <c r="F42" s="27"/>
    </row>
    <row r="43" spans="1:6" ht="12.75">
      <c r="A43" s="41"/>
      <c r="B43" s="59" t="s">
        <v>66</v>
      </c>
      <c r="C43" s="6">
        <f>Achats_Aliments!D11</f>
        <v>0</v>
      </c>
      <c r="D43" s="6" t="s">
        <v>36</v>
      </c>
      <c r="E43" s="273">
        <f>C43</f>
        <v>0</v>
      </c>
      <c r="F43" s="27"/>
    </row>
    <row r="44" spans="1:6" ht="12.75">
      <c r="A44" s="41"/>
      <c r="B44" s="59" t="s">
        <v>67</v>
      </c>
      <c r="C44" s="6">
        <f>Achats_Aliments!G11</f>
        <v>0</v>
      </c>
      <c r="D44" s="6" t="s">
        <v>36</v>
      </c>
      <c r="E44" s="273">
        <f>C44</f>
        <v>0</v>
      </c>
      <c r="F44" s="27" t="s">
        <v>68</v>
      </c>
    </row>
    <row r="45" spans="1:6" ht="12.75">
      <c r="A45" s="41"/>
      <c r="B45" s="61" t="s">
        <v>69</v>
      </c>
      <c r="C45" s="7">
        <f>Achats_Aliments!H11</f>
        <v>0</v>
      </c>
      <c r="D45" s="7" t="s">
        <v>36</v>
      </c>
      <c r="E45" s="274">
        <f>C45</f>
        <v>0</v>
      </c>
      <c r="F45" s="16" t="s">
        <v>70</v>
      </c>
    </row>
    <row r="46" spans="1:6" ht="12.75">
      <c r="A46" s="41"/>
      <c r="B46" s="36" t="s">
        <v>176</v>
      </c>
      <c r="C46" s="6"/>
      <c r="D46" s="6"/>
      <c r="E46" s="273"/>
      <c r="F46" s="27"/>
    </row>
    <row r="47" spans="1:6" ht="12.75">
      <c r="A47" s="41"/>
      <c r="B47" s="59" t="s">
        <v>66</v>
      </c>
      <c r="C47" s="6">
        <f>Elevage!L41</f>
        <v>0</v>
      </c>
      <c r="D47" s="6">
        <f>Elevage!I41</f>
        <v>0</v>
      </c>
      <c r="E47" s="273">
        <f>D47-C47</f>
        <v>0</v>
      </c>
      <c r="F47" s="27"/>
    </row>
    <row r="48" spans="1:6" ht="12.75">
      <c r="A48" s="41"/>
      <c r="B48" s="59" t="s">
        <v>67</v>
      </c>
      <c r="C48" s="6">
        <f>Elevage!M41</f>
        <v>0</v>
      </c>
      <c r="D48" s="6">
        <f>Elevage!J41</f>
        <v>0</v>
      </c>
      <c r="E48" s="273">
        <f>D48-C48</f>
        <v>0</v>
      </c>
      <c r="F48" s="27" t="s">
        <v>71</v>
      </c>
    </row>
    <row r="49" spans="1:6" ht="12.75">
      <c r="A49" s="41"/>
      <c r="B49" s="61" t="s">
        <v>69</v>
      </c>
      <c r="C49" s="7">
        <f>Elevage!N41</f>
        <v>0</v>
      </c>
      <c r="D49" s="7">
        <f>Elevage!K41</f>
        <v>0</v>
      </c>
      <c r="E49" s="274">
        <f>D49-C49</f>
        <v>0</v>
      </c>
      <c r="F49" s="16" t="s">
        <v>72</v>
      </c>
    </row>
    <row r="50" spans="1:6" ht="12.75">
      <c r="A50" s="41"/>
      <c r="B50" s="36" t="s">
        <v>175</v>
      </c>
      <c r="C50" s="270"/>
      <c r="D50" s="270"/>
      <c r="E50" s="132"/>
      <c r="F50" s="27"/>
    </row>
    <row r="51" spans="2:6" ht="12.75">
      <c r="B51" s="59" t="s">
        <v>66</v>
      </c>
      <c r="C51" s="6" t="s">
        <v>36</v>
      </c>
      <c r="D51" s="6">
        <f>Elevage!I42</f>
        <v>0</v>
      </c>
      <c r="E51" s="273">
        <f>D51</f>
        <v>0</v>
      </c>
      <c r="F51" s="27"/>
    </row>
    <row r="52" spans="2:6" ht="12.75">
      <c r="B52" s="59" t="s">
        <v>67</v>
      </c>
      <c r="C52" s="6" t="s">
        <v>36</v>
      </c>
      <c r="D52" s="6">
        <f>Elevage!J42</f>
        <v>0</v>
      </c>
      <c r="E52" s="273">
        <f>D52</f>
        <v>0</v>
      </c>
      <c r="F52" s="27" t="s">
        <v>71</v>
      </c>
    </row>
    <row r="53" spans="2:6" ht="12.75">
      <c r="B53" s="61" t="s">
        <v>69</v>
      </c>
      <c r="C53" s="7" t="s">
        <v>36</v>
      </c>
      <c r="D53" s="7">
        <f>Elevage!K42</f>
        <v>0</v>
      </c>
      <c r="E53" s="274">
        <f>D53</f>
        <v>0</v>
      </c>
      <c r="F53" s="16" t="s">
        <v>72</v>
      </c>
    </row>
    <row r="54" spans="2:8" ht="12.75">
      <c r="B54" s="41"/>
      <c r="C54" s="41"/>
      <c r="D54" s="41"/>
      <c r="E54" s="48"/>
      <c r="F54" s="41"/>
      <c r="G54" s="41"/>
      <c r="H54" s="41"/>
    </row>
  </sheetData>
  <sheetProtection password="DBD9" sheet="1" objects="1" scenarios="1"/>
  <printOptions/>
  <pageMargins left="0.3937007874015748" right="0.3937007874015748" top="0.984251968503937" bottom="0.3937007874015748" header="0.5118110236220472" footer="0.5118110236220472"/>
  <pageSetup horizontalDpi="300" verticalDpi="300" orientation="portrait" r:id="rId1"/>
  <headerFooter alignWithMargins="0">
    <oddHeader>&amp;L&amp;"Arial,Gras"Estimation des rejets
d'azote et de phosphore&amp;C&amp;"Arial,Gras"&amp;14Bilan&amp;RCorpen modifié
pour le Québec
</oddHeader>
    <oddFooter>&amp;R&amp;F -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/>
  <dimension ref="B1:K49"/>
  <sheetViews>
    <sheetView showGridLines="0" showRowColHeaders="0" showZeros="0" showOutlineSymbols="0" zoomScale="80" zoomScaleNormal="80" workbookViewId="0" topLeftCell="A3">
      <selection activeCell="F20" sqref="F20:G20"/>
    </sheetView>
  </sheetViews>
  <sheetFormatPr defaultColWidth="11.421875" defaultRowHeight="12.75"/>
  <cols>
    <col min="1" max="1" width="6.7109375" style="0" customWidth="1"/>
    <col min="2" max="2" width="23.28125" style="0" customWidth="1"/>
    <col min="3" max="5" width="10.7109375" style="0" customWidth="1"/>
    <col min="6" max="6" width="9.57421875" style="0" customWidth="1"/>
    <col min="7" max="9" width="9.00390625" style="0" customWidth="1"/>
  </cols>
  <sheetData>
    <row r="1" spans="2:8" ht="12.75">
      <c r="B1" s="41"/>
      <c r="C1" s="41"/>
      <c r="D1" s="41"/>
      <c r="E1" s="41"/>
      <c r="F1" s="41"/>
      <c r="G1" s="41"/>
      <c r="H1" s="41"/>
    </row>
    <row r="2" spans="2:7" ht="12.75">
      <c r="B2" s="38" t="s">
        <v>14</v>
      </c>
      <c r="C2" s="106">
        <f>IF(Elevage!C2&lt;&gt;0,Elevage!C2,"")</f>
      </c>
      <c r="D2" s="10"/>
      <c r="E2" s="10"/>
      <c r="F2" s="10"/>
      <c r="G2" s="11"/>
    </row>
    <row r="3" spans="2:7" ht="12.75">
      <c r="B3" s="39" t="s">
        <v>15</v>
      </c>
      <c r="C3" s="8">
        <f>IF(Elevage!D3&lt;&gt;0,Elevage!D3,"")</f>
      </c>
      <c r="D3" s="12"/>
      <c r="E3" s="12"/>
      <c r="F3" s="12"/>
      <c r="G3" s="13"/>
    </row>
    <row r="4" spans="2:7" ht="12.75">
      <c r="B4" s="39"/>
      <c r="C4" s="8">
        <f>IF(Elevage!C4&lt;&gt;0,Elevage!C4,"")</f>
      </c>
      <c r="D4" s="12"/>
      <c r="E4" s="12"/>
      <c r="F4" s="12"/>
      <c r="G4" s="13"/>
    </row>
    <row r="5" spans="2:7" ht="12.75">
      <c r="B5" s="40"/>
      <c r="C5" s="107">
        <f>IF(Elevage!C5&lt;&gt;0,Elevage!C5,"")</f>
      </c>
      <c r="D5" s="14"/>
      <c r="E5" s="14"/>
      <c r="F5" s="14"/>
      <c r="G5" s="15"/>
    </row>
    <row r="6" spans="2:8" ht="12.75">
      <c r="B6" s="41"/>
      <c r="C6" s="41"/>
      <c r="D6" s="41"/>
      <c r="E6" s="41"/>
      <c r="F6" s="41"/>
      <c r="G6" s="41"/>
      <c r="H6" s="41"/>
    </row>
    <row r="8" spans="2:9" ht="12.75">
      <c r="B8" s="91" t="s">
        <v>73</v>
      </c>
      <c r="C8" s="93" t="s">
        <v>74</v>
      </c>
      <c r="D8" s="414" t="s">
        <v>75</v>
      </c>
      <c r="E8" s="422" t="s">
        <v>60</v>
      </c>
      <c r="F8" s="267"/>
      <c r="G8" s="267"/>
      <c r="H8" s="267"/>
      <c r="I8" s="267"/>
    </row>
    <row r="9" spans="2:9" ht="12.75">
      <c r="B9" s="88" t="s">
        <v>76</v>
      </c>
      <c r="C9" s="276">
        <f>Bilan!C24</f>
        <v>0</v>
      </c>
      <c r="D9" s="415">
        <f>Bilan!C34</f>
        <v>0</v>
      </c>
      <c r="E9" s="423"/>
      <c r="F9" s="150"/>
      <c r="G9" s="150"/>
      <c r="H9" s="150"/>
      <c r="I9" s="150"/>
    </row>
    <row r="10" spans="2:9" ht="12.75">
      <c r="B10" s="60" t="s">
        <v>77</v>
      </c>
      <c r="C10" s="6">
        <f>Bilan!C25+Bilan!C26</f>
        <v>0</v>
      </c>
      <c r="D10" s="416">
        <f>Bilan!C35+Bilan!C36</f>
        <v>0</v>
      </c>
      <c r="E10" s="423"/>
      <c r="F10" s="417"/>
      <c r="G10" s="417"/>
      <c r="H10" s="417"/>
      <c r="I10" s="417"/>
    </row>
    <row r="11" spans="2:9" ht="12.75">
      <c r="B11" s="60" t="s">
        <v>78</v>
      </c>
      <c r="C11" s="6" t="e">
        <f>Bilan!C28</f>
        <v>#DIV/0!</v>
      </c>
      <c r="D11" s="417"/>
      <c r="E11" s="423"/>
      <c r="F11" s="419"/>
      <c r="G11" s="419"/>
      <c r="H11" s="419"/>
      <c r="I11" s="419"/>
    </row>
    <row r="12" spans="2:9" ht="12.75">
      <c r="B12" s="89" t="s">
        <v>161</v>
      </c>
      <c r="C12" s="7" t="e">
        <f>Bilan!C29</f>
        <v>#DIV/0!</v>
      </c>
      <c r="D12" s="418">
        <f>Bilan!C37</f>
        <v>0</v>
      </c>
      <c r="E12" s="424">
        <f>Bilan!D37</f>
        <v>0</v>
      </c>
      <c r="F12" s="420"/>
      <c r="G12" s="420"/>
      <c r="H12" s="420"/>
      <c r="I12" s="420"/>
    </row>
    <row r="13" spans="2:9" ht="13.5" customHeight="1">
      <c r="B13" s="41"/>
      <c r="C13" s="90"/>
      <c r="D13" s="41"/>
      <c r="E13" s="421"/>
      <c r="F13" s="418"/>
      <c r="G13" s="418"/>
      <c r="H13" s="416"/>
      <c r="I13" s="416"/>
    </row>
    <row r="14" spans="2:7" ht="13.5" customHeight="1">
      <c r="B14" s="151" t="s">
        <v>274</v>
      </c>
      <c r="C14" s="473" t="s">
        <v>275</v>
      </c>
      <c r="D14" s="474"/>
      <c r="E14" s="469"/>
      <c r="F14" s="475" t="s">
        <v>275</v>
      </c>
      <c r="G14" s="472"/>
    </row>
    <row r="15" spans="2:7" ht="13.5" customHeight="1">
      <c r="B15" s="405"/>
      <c r="C15" s="476" t="s">
        <v>276</v>
      </c>
      <c r="D15" s="477"/>
      <c r="E15" s="406" t="s">
        <v>26</v>
      </c>
      <c r="F15" s="475" t="s">
        <v>277</v>
      </c>
      <c r="G15" s="472"/>
    </row>
    <row r="16" spans="2:7" ht="13.5" customHeight="1">
      <c r="B16" s="407"/>
      <c r="C16" s="407"/>
      <c r="D16" s="408"/>
      <c r="E16" s="409" t="s">
        <v>29</v>
      </c>
      <c r="F16" s="470" t="s">
        <v>29</v>
      </c>
      <c r="G16" s="469"/>
    </row>
    <row r="17" spans="2:7" ht="13.5" customHeight="1">
      <c r="B17" s="149" t="s">
        <v>278</v>
      </c>
      <c r="C17" s="132" t="s">
        <v>42</v>
      </c>
      <c r="D17" s="410">
        <f>'[1]Elevage'!E45</f>
      </c>
      <c r="E17" s="411">
        <f>Fumier!K18</f>
        <v>0</v>
      </c>
      <c r="F17" s="471">
        <f>Fumier!K25</f>
        <v>0</v>
      </c>
      <c r="G17" s="472"/>
    </row>
    <row r="18" spans="2:7" ht="13.5" customHeight="1">
      <c r="B18" s="149" t="s">
        <v>74</v>
      </c>
      <c r="C18" s="132" t="s">
        <v>114</v>
      </c>
      <c r="D18" s="410">
        <f>Fumier!G18</f>
      </c>
      <c r="E18" s="411">
        <f>Fumier!L18</f>
        <v>0</v>
      </c>
      <c r="F18" s="471">
        <f>Fumier!L25</f>
        <v>0</v>
      </c>
      <c r="G18" s="472"/>
    </row>
    <row r="19" spans="2:7" ht="13.5" customHeight="1">
      <c r="B19" s="149" t="s">
        <v>279</v>
      </c>
      <c r="C19" s="132" t="s">
        <v>114</v>
      </c>
      <c r="D19" s="410">
        <f>Fumier!H18</f>
      </c>
      <c r="E19" s="411">
        <f>Fumier!M18</f>
        <v>0</v>
      </c>
      <c r="F19" s="471">
        <f>Fumier!M25</f>
        <v>0</v>
      </c>
      <c r="G19" s="472"/>
    </row>
    <row r="20" spans="2:7" ht="13.5" customHeight="1">
      <c r="B20" s="136" t="s">
        <v>280</v>
      </c>
      <c r="C20" s="134" t="s">
        <v>114</v>
      </c>
      <c r="D20" s="412">
        <f>Fumier!I18</f>
      </c>
      <c r="E20" s="413">
        <f>Fumier!N18</f>
        <v>0</v>
      </c>
      <c r="F20" s="468">
        <f>Fumier!N25</f>
        <v>0</v>
      </c>
      <c r="G20" s="469"/>
    </row>
    <row r="21" spans="2:6" ht="13.5" customHeight="1">
      <c r="B21" s="41"/>
      <c r="C21" s="90"/>
      <c r="D21" s="52"/>
      <c r="E21" s="41"/>
      <c r="F21" s="41"/>
    </row>
    <row r="22" spans="2:6" ht="13.5" customHeight="1">
      <c r="B22" s="92"/>
      <c r="C22" s="94"/>
      <c r="D22" s="95"/>
      <c r="E22" s="96" t="s">
        <v>80</v>
      </c>
      <c r="F22" s="97"/>
    </row>
    <row r="23" spans="2:6" ht="12.75">
      <c r="B23" s="91" t="s">
        <v>81</v>
      </c>
      <c r="C23" s="98" t="s">
        <v>195</v>
      </c>
      <c r="D23" s="98" t="s">
        <v>64</v>
      </c>
      <c r="E23" s="98" t="s">
        <v>188</v>
      </c>
      <c r="F23" s="98" t="s">
        <v>103</v>
      </c>
    </row>
    <row r="24" spans="2:6" ht="12.75">
      <c r="B24" s="88" t="s">
        <v>82</v>
      </c>
      <c r="C24" s="276">
        <f>Bilan!C12</f>
        <v>0</v>
      </c>
      <c r="D24" s="278"/>
      <c r="E24" s="282">
        <f>Elevage!J18*Elevage!M18+Elevage!M25*Elevage!J25</f>
        <v>0</v>
      </c>
      <c r="F24" s="282">
        <f>Elevage!J18*Elevage!S18+Elevage!S25*Elevage!J25</f>
        <v>0</v>
      </c>
    </row>
    <row r="25" spans="2:6" ht="12.75">
      <c r="B25" s="60" t="s">
        <v>186</v>
      </c>
      <c r="C25" s="6">
        <f>Bilan!C13</f>
        <v>0</v>
      </c>
      <c r="D25" s="277"/>
      <c r="E25" s="282">
        <f>Elevage!N16*Elevage!C30+Elevage!N17*Elevage!C31</f>
        <v>0</v>
      </c>
      <c r="F25" s="282">
        <f>Elevage!T16*Elevage!C30+Elevage!T17*Elevage!C31</f>
        <v>0</v>
      </c>
    </row>
    <row r="26" spans="2:6" ht="12.75">
      <c r="B26" s="60" t="s">
        <v>187</v>
      </c>
      <c r="C26" s="6">
        <f>Bilan!C14</f>
        <v>0</v>
      </c>
      <c r="D26" s="52"/>
      <c r="E26" s="282">
        <f>Elevage!O20*Elevage!C34+Elevage!O19*Elevage!C33+Elevage!O21*Elevage!C35+Elevage!O22*Elevage!C36+Elevage!O23*Elevage!C37+Elevage!O24*Elevage!C38</f>
        <v>0</v>
      </c>
      <c r="F26" s="282">
        <f>Elevage!U20*Elevage!C34+Elevage!U19*Elevage!C33+Elevage!U21*Elevage!C35+Elevage!U22*Elevage!C36+Elevage!U23*Elevage!C37+Elevage!U24*Elevage!C38</f>
        <v>0</v>
      </c>
    </row>
    <row r="27" spans="2:6" ht="12.75">
      <c r="B27" s="60"/>
      <c r="C27" s="270"/>
      <c r="D27" s="6" t="e">
        <f>+C12</f>
        <v>#DIV/0!</v>
      </c>
      <c r="E27" s="282">
        <f>SUM(E24:E26)</f>
        <v>0</v>
      </c>
      <c r="F27" s="282">
        <f>SUM(F24:F26)</f>
        <v>0</v>
      </c>
    </row>
    <row r="28" spans="2:6" ht="12.75">
      <c r="B28" s="89"/>
      <c r="C28" s="3"/>
      <c r="D28" s="279" t="e">
        <f>+D27/E27</f>
        <v>#DIV/0!</v>
      </c>
      <c r="E28" s="279">
        <v>1</v>
      </c>
      <c r="F28" s="279" t="e">
        <f>+F27/E27</f>
        <v>#DIV/0!</v>
      </c>
    </row>
    <row r="29" spans="2:6" ht="12.75">
      <c r="B29" s="88" t="s">
        <v>130</v>
      </c>
      <c r="C29" s="280"/>
      <c r="D29" s="281"/>
      <c r="E29" s="281"/>
      <c r="F29" s="283"/>
    </row>
    <row r="30" spans="2:6" ht="12.75">
      <c r="B30" s="89" t="s">
        <v>206</v>
      </c>
      <c r="C30" s="134"/>
      <c r="D30" s="316" t="e">
        <f>IF(C24&gt;0,D27/(Bilan!$E51+Bilan!$E47)*1000,D27/Bilan!$E47*1000)</f>
        <v>#DIV/0!</v>
      </c>
      <c r="E30" s="316" t="e">
        <f>IF(C24&gt;0,E27/(Bilan!$E51+Bilan!$E47)*1000,E27/Bilan!$E47*1000)</f>
        <v>#DIV/0!</v>
      </c>
      <c r="F30" s="316" t="e">
        <f>IF(C24&gt;0,F27/(Bilan!$E51+Bilan!$E47)*1000,F27/Bilan!$E47*1000)</f>
        <v>#DIV/0!</v>
      </c>
    </row>
    <row r="31" spans="2:6" ht="12.75">
      <c r="B31" s="41"/>
      <c r="C31" s="52"/>
      <c r="D31" s="41"/>
      <c r="E31" s="41"/>
      <c r="F31" s="41"/>
    </row>
    <row r="32" spans="2:6" ht="12.75">
      <c r="B32" s="92"/>
      <c r="C32" s="94"/>
      <c r="D32" s="95"/>
      <c r="E32" s="96" t="s">
        <v>80</v>
      </c>
      <c r="F32" s="97"/>
    </row>
    <row r="33" spans="2:11" ht="12.75">
      <c r="B33" s="91" t="s">
        <v>83</v>
      </c>
      <c r="C33" s="98" t="str">
        <f>+C23</f>
        <v>Sortie</v>
      </c>
      <c r="D33" s="98" t="s">
        <v>64</v>
      </c>
      <c r="E33" s="98" t="s">
        <v>188</v>
      </c>
      <c r="F33" s="98" t="s">
        <v>103</v>
      </c>
      <c r="K33" s="325"/>
    </row>
    <row r="34" spans="2:6" ht="12.75">
      <c r="B34" s="88" t="str">
        <f>+B24</f>
        <v>Reproducteurs</v>
      </c>
      <c r="C34" s="278">
        <f>+C24</f>
        <v>0</v>
      </c>
      <c r="D34" s="278"/>
      <c r="E34" s="282">
        <f>(Elevage!J18*Elevage!P18+Elevage!P25*Elevage!J25)*2.29</f>
        <v>0</v>
      </c>
      <c r="F34" s="282">
        <f>(Elevage!J18*Elevage!V18+Elevage!J25*Elevage!V25)*2.29</f>
        <v>0</v>
      </c>
    </row>
    <row r="35" spans="2:11" ht="12.75">
      <c r="B35" s="60" t="str">
        <f>+B25</f>
        <v>Élevage remplacement</v>
      </c>
      <c r="C35" s="6">
        <f>+C25</f>
        <v>0</v>
      </c>
      <c r="D35" s="6"/>
      <c r="E35" s="282">
        <f>(Elevage!C30*Elevage!Q16+Elevage!C31*Elevage!Q17)*2.29</f>
        <v>0</v>
      </c>
      <c r="F35" s="282">
        <f>(Elevage!C30*Elevage!W16+Elevage!C31*Elevage!W17)*2.29</f>
        <v>0</v>
      </c>
      <c r="K35" s="245"/>
    </row>
    <row r="36" spans="2:11" ht="12.75">
      <c r="B36" s="60" t="str">
        <f>+B26</f>
        <v>Oiseaux à chair</v>
      </c>
      <c r="C36" s="6">
        <f>+C26</f>
        <v>0</v>
      </c>
      <c r="D36" s="52"/>
      <c r="E36" s="282">
        <f>(Elevage!R20*Elevage!C34+Elevage!R19*Elevage!C33+Elevage!R21*Elevage!C35+Elevage!R22*Elevage!C36+Elevage!R23*Elevage!C37+Elevage!R24*Elevage!C38)*2.29</f>
        <v>0</v>
      </c>
      <c r="F36" s="282">
        <f>(Elevage!X20*Elevage!C34+Elevage!X19*Elevage!C33+Elevage!X21*Elevage!C35+Elevage!X22*Elevage!C36+Elevage!X23*Elevage!C37+Elevage!X24*Elevage!C38)*2.29</f>
        <v>0</v>
      </c>
      <c r="K36" s="245"/>
    </row>
    <row r="37" spans="2:11" ht="12.75">
      <c r="B37" s="60"/>
      <c r="C37" s="270"/>
      <c r="D37" s="6">
        <f>Bilan!D37</f>
        <v>0</v>
      </c>
      <c r="E37" s="282">
        <f>SUM(E34:E36)</f>
        <v>0</v>
      </c>
      <c r="F37" s="282">
        <f>SUM(F34:F36)</f>
        <v>0</v>
      </c>
      <c r="K37" s="245"/>
    </row>
    <row r="38" spans="2:11" ht="12.75">
      <c r="B38" s="89"/>
      <c r="C38" s="3"/>
      <c r="D38" s="279" t="e">
        <f>+D37/E37</f>
        <v>#DIV/0!</v>
      </c>
      <c r="E38" s="279">
        <v>1</v>
      </c>
      <c r="F38" s="279" t="e">
        <f>+F37/E37</f>
        <v>#DIV/0!</v>
      </c>
      <c r="K38" s="245"/>
    </row>
    <row r="39" spans="2:6" ht="15.75" customHeight="1">
      <c r="B39" s="88" t="s">
        <v>281</v>
      </c>
      <c r="C39" s="280"/>
      <c r="D39" s="281"/>
      <c r="E39" s="281"/>
      <c r="F39" s="283"/>
    </row>
    <row r="40" spans="2:6" ht="12.75">
      <c r="B40" s="89" t="s">
        <v>206</v>
      </c>
      <c r="C40" s="134"/>
      <c r="D40" s="316" t="e">
        <f>IF(C24&gt;0,D37/(Bilan!$E51+Bilan!$E47)*1000,D37/Bilan!$E47*1000)</f>
        <v>#DIV/0!</v>
      </c>
      <c r="E40" s="316" t="e">
        <f>IF(C24&gt;0,E37/(Bilan!$E51+Bilan!$E47)*1000,E37/Bilan!$E47*1000)</f>
        <v>#DIV/0!</v>
      </c>
      <c r="F40" s="316" t="e">
        <f>IF(C24&gt;0,F37/(Bilan!$E51+Bilan!$E47)*1000,F37/Bilan!$E47*1000)</f>
        <v>#DIV/0!</v>
      </c>
    </row>
    <row r="41" ht="12.75">
      <c r="K41" s="245"/>
    </row>
    <row r="42" spans="2:6" ht="12.75">
      <c r="B42" s="182"/>
      <c r="C42" s="182"/>
      <c r="D42" s="323"/>
      <c r="E42" s="323"/>
      <c r="F42" s="8"/>
    </row>
    <row r="43" spans="2:11" ht="12.75">
      <c r="B43" s="324" t="s">
        <v>122</v>
      </c>
      <c r="G43" s="165"/>
      <c r="K43" s="245"/>
    </row>
    <row r="44" spans="2:6" ht="12.75">
      <c r="B44" s="182"/>
      <c r="C44" s="182"/>
      <c r="D44" s="95"/>
      <c r="E44" s="96" t="s">
        <v>80</v>
      </c>
      <c r="F44" s="97"/>
    </row>
    <row r="45" spans="2:6" ht="12.75">
      <c r="B45" s="369" t="s">
        <v>19</v>
      </c>
      <c r="C45" s="183"/>
      <c r="D45" s="181" t="s">
        <v>64</v>
      </c>
      <c r="E45" s="93" t="str">
        <f>E32</f>
        <v>Méthode</v>
      </c>
      <c r="F45" s="93" t="s">
        <v>103</v>
      </c>
    </row>
    <row r="46" spans="2:6" ht="12.75">
      <c r="B46" s="370"/>
      <c r="C46" s="371"/>
      <c r="D46" s="178" t="s">
        <v>123</v>
      </c>
      <c r="E46" s="179" t="s">
        <v>123</v>
      </c>
      <c r="F46" s="180" t="s">
        <v>123</v>
      </c>
    </row>
    <row r="47" spans="2:6" ht="12.75">
      <c r="B47" s="149">
        <v>2005</v>
      </c>
      <c r="C47" s="372"/>
      <c r="D47" s="373">
        <f>D37/Fumier!H42*0.5</f>
        <v>0</v>
      </c>
      <c r="E47" s="326">
        <f>E37/Fumier!H42*0.5</f>
        <v>0</v>
      </c>
      <c r="F47" s="374">
        <f>F37/Fumier!H42*0.5</f>
        <v>0</v>
      </c>
    </row>
    <row r="48" spans="2:6" ht="12.75">
      <c r="B48" s="375">
        <v>2008</v>
      </c>
      <c r="C48" s="372"/>
      <c r="D48" s="174">
        <f>D37/Fumier!H42*0.75</f>
        <v>0</v>
      </c>
      <c r="E48" s="176">
        <f>E37/Fumier!H42*0.75</f>
        <v>0</v>
      </c>
      <c r="F48" s="376">
        <f>F37/Fumier!H42*0.75</f>
        <v>0</v>
      </c>
    </row>
    <row r="49" spans="2:6" ht="12.75">
      <c r="B49" s="377">
        <v>2010</v>
      </c>
      <c r="C49" s="378"/>
      <c r="D49" s="175">
        <f>D37/Fumier!H42</f>
        <v>0</v>
      </c>
      <c r="E49" s="177">
        <f>E37/Fumier!H42</f>
        <v>0</v>
      </c>
      <c r="F49" s="379">
        <f>F37/Fumier!H42</f>
        <v>0</v>
      </c>
    </row>
  </sheetData>
  <sheetProtection password="DBD9" sheet="1" objects="1" scenarios="1"/>
  <mergeCells count="9">
    <mergeCell ref="C14:E14"/>
    <mergeCell ref="F14:G14"/>
    <mergeCell ref="C15:D15"/>
    <mergeCell ref="F15:G15"/>
    <mergeCell ref="F20:G20"/>
    <mergeCell ref="F16:G16"/>
    <mergeCell ref="F17:G17"/>
    <mergeCell ref="F18:G18"/>
    <mergeCell ref="F19:G19"/>
  </mergeCells>
  <printOptions/>
  <pageMargins left="0.3937007874015748" right="0.3937007874015748" top="1.1811023622047245" bottom="0.5905511811023623" header="0.5118110236220472" footer="0.5118110236220472"/>
  <pageSetup horizontalDpi="300" verticalDpi="300" orientation="portrait" r:id="rId1"/>
  <headerFooter alignWithMargins="0">
    <oddHeader>&amp;L&amp;"Arial,Gras"Estimation des rejets
d'azote et de phosphore&amp;C&amp;"Arial,Gras"&amp;14Résultats de la ferme
vs 
Standard et Potentiel&amp;RCorpen modifié 
pour le Québec</oddHeader>
    <oddFooter>&amp;R&amp;F -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8"/>
  <dimension ref="A1:A1"/>
  <sheetViews>
    <sheetView showGridLines="0" showRowColHeaders="0" workbookViewId="0" topLeftCell="A30">
      <selection activeCell="I39" sqref="I39"/>
    </sheetView>
  </sheetViews>
  <sheetFormatPr defaultColWidth="11.421875" defaultRowHeight="12.75"/>
  <sheetData/>
  <sheetProtection password="D419" sheet="1" objects="1" scenarios="1"/>
  <printOptions/>
  <pageMargins left="0.3937007874015748" right="0.3937007874015748" top="0.7874015748031497" bottom="0.3937007874015748" header="0.5118110236220472" footer="0.5118110236220472"/>
  <pageSetup horizontalDpi="300" verticalDpi="300" orientation="portrait" scale="90" r:id="rId3"/>
  <legacyDrawing r:id="rId2"/>
  <oleObjects>
    <oleObject progId="Document" shapeId="318573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9"/>
  <dimension ref="A1:A1"/>
  <sheetViews>
    <sheetView showGridLines="0" showRowColHeaders="0" showZeros="0" showOutlineSymbols="0" workbookViewId="0" topLeftCell="A1">
      <selection activeCell="A109" sqref="A109"/>
    </sheetView>
  </sheetViews>
  <sheetFormatPr defaultColWidth="11.421875" defaultRowHeight="12.75"/>
  <cols>
    <col min="1" max="16384" width="11.57421875" style="108" customWidth="1"/>
  </cols>
  <sheetData/>
  <sheetProtection password="D419" sheet="1" objects="1" scenarios="1"/>
  <printOptions/>
  <pageMargins left="0.61" right="0.1968503937007874" top="0.2362204724409449" bottom="0.4724409448818898" header="0.984251968503937" footer="0.5118110236220472"/>
  <pageSetup horizontalDpi="300" verticalDpi="300" orientation="portrait" r:id="rId4"/>
  <rowBreaks count="3" manualBreakCount="3">
    <brk id="35" max="255" man="1"/>
    <brk id="80" max="255" man="1"/>
    <brk id="108" max="255" man="1"/>
  </rowBreaks>
  <drawing r:id="rId3"/>
  <legacyDrawing r:id="rId2"/>
  <oleObjects>
    <oleObject progId="Word.Document.8" shapeId="264611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0"/>
  <dimension ref="A2:D46"/>
  <sheetViews>
    <sheetView showGridLines="0" showRowColHeaders="0" workbookViewId="0" topLeftCell="A1">
      <selection activeCell="C2" sqref="C2"/>
    </sheetView>
  </sheetViews>
  <sheetFormatPr defaultColWidth="11.421875" defaultRowHeight="12.75"/>
  <cols>
    <col min="1" max="1" width="8.8515625" style="0" customWidth="1"/>
    <col min="2" max="2" width="6.57421875" style="0" customWidth="1"/>
  </cols>
  <sheetData>
    <row r="2" spans="2:4" ht="15.75">
      <c r="B2" s="120" t="s">
        <v>215</v>
      </c>
      <c r="C2" s="41"/>
      <c r="D2" s="41"/>
    </row>
    <row r="3" spans="2:4" ht="18">
      <c r="B3" s="114" t="s">
        <v>217</v>
      </c>
      <c r="C3" s="41"/>
      <c r="D3" s="41"/>
    </row>
    <row r="4" spans="2:4" ht="18">
      <c r="B4" s="114" t="s">
        <v>216</v>
      </c>
      <c r="C4" s="41"/>
      <c r="D4" s="41"/>
    </row>
    <row r="5" spans="2:4" ht="15" customHeight="1">
      <c r="B5" s="114"/>
      <c r="C5" s="41"/>
      <c r="D5" s="41"/>
    </row>
    <row r="6" ht="18">
      <c r="B6" s="116" t="s">
        <v>218</v>
      </c>
    </row>
    <row r="7" ht="16.5">
      <c r="B7" s="121" t="s">
        <v>84</v>
      </c>
    </row>
    <row r="8" ht="16.5">
      <c r="B8" s="121" t="s">
        <v>220</v>
      </c>
    </row>
    <row r="9" ht="15" customHeight="1">
      <c r="D9" s="344" t="s">
        <v>219</v>
      </c>
    </row>
    <row r="10" spans="2:4" ht="15">
      <c r="B10" s="115" t="s">
        <v>85</v>
      </c>
      <c r="C10" s="41"/>
      <c r="D10" s="41"/>
    </row>
    <row r="11" spans="2:4" ht="15">
      <c r="B11" s="113" t="s">
        <v>86</v>
      </c>
      <c r="C11" s="41"/>
      <c r="D11" s="41"/>
    </row>
    <row r="12" spans="2:4" ht="3.75" customHeight="1">
      <c r="B12" s="113"/>
      <c r="C12" s="41"/>
      <c r="D12" s="41"/>
    </row>
    <row r="13" spans="2:4" ht="15">
      <c r="B13" s="115" t="s">
        <v>87</v>
      </c>
      <c r="C13" s="41"/>
      <c r="D13" s="41"/>
    </row>
    <row r="14" spans="2:4" ht="15.75">
      <c r="B14" s="117" t="s">
        <v>88</v>
      </c>
      <c r="C14" s="41"/>
      <c r="D14" s="41"/>
    </row>
    <row r="15" spans="2:4" ht="6" customHeight="1">
      <c r="B15" s="113"/>
      <c r="C15" s="41"/>
      <c r="D15" s="41"/>
    </row>
    <row r="16" spans="2:4" ht="15">
      <c r="B16" s="41"/>
      <c r="C16" s="118" t="s">
        <v>89</v>
      </c>
      <c r="D16" s="41"/>
    </row>
    <row r="17" spans="2:4" ht="15">
      <c r="B17" s="99"/>
      <c r="C17" s="165" t="s">
        <v>223</v>
      </c>
      <c r="D17" s="41"/>
    </row>
    <row r="18" spans="2:4" ht="15">
      <c r="B18" s="99"/>
      <c r="C18" s="41" t="s">
        <v>221</v>
      </c>
      <c r="D18" s="41"/>
    </row>
    <row r="19" spans="2:3" ht="15">
      <c r="B19" s="104"/>
      <c r="C19" s="41" t="s">
        <v>258</v>
      </c>
    </row>
    <row r="20" ht="12.75">
      <c r="C20" s="41" t="s">
        <v>259</v>
      </c>
    </row>
    <row r="21" ht="12.75">
      <c r="C21" s="41" t="s">
        <v>260</v>
      </c>
    </row>
    <row r="22" spans="2:3" ht="13.5" customHeight="1">
      <c r="B22" s="101"/>
      <c r="C22" s="41" t="s">
        <v>222</v>
      </c>
    </row>
    <row r="23" spans="2:3" ht="13.5" customHeight="1">
      <c r="B23" s="101"/>
      <c r="C23" s="41" t="s">
        <v>283</v>
      </c>
    </row>
    <row r="24" spans="2:3" ht="15">
      <c r="B24" s="101"/>
      <c r="C24" s="119" t="s">
        <v>90</v>
      </c>
    </row>
    <row r="25" spans="2:3" ht="12.75">
      <c r="B25" s="101"/>
      <c r="C25" s="41" t="s">
        <v>224</v>
      </c>
    </row>
    <row r="26" spans="2:3" ht="4.5" customHeight="1">
      <c r="B26" s="101"/>
      <c r="C26" s="41"/>
    </row>
    <row r="27" ht="7.5" customHeight="1">
      <c r="B27" s="111"/>
    </row>
    <row r="28" ht="15">
      <c r="B28" s="115" t="s">
        <v>91</v>
      </c>
    </row>
    <row r="29" ht="15">
      <c r="B29" s="113" t="s">
        <v>92</v>
      </c>
    </row>
    <row r="31" ht="15">
      <c r="A31" s="122" t="s">
        <v>261</v>
      </c>
    </row>
    <row r="33" ht="15.75">
      <c r="B33" s="120" t="s">
        <v>215</v>
      </c>
    </row>
    <row r="34" ht="18">
      <c r="B34" s="114" t="s">
        <v>1</v>
      </c>
    </row>
    <row r="35" ht="18">
      <c r="B35" s="114" t="s">
        <v>216</v>
      </c>
    </row>
    <row r="36" ht="18">
      <c r="B36" s="123" t="s">
        <v>93</v>
      </c>
    </row>
    <row r="38" ht="18" customHeight="1">
      <c r="B38" s="41" t="s">
        <v>94</v>
      </c>
    </row>
    <row r="39" ht="18" customHeight="1">
      <c r="B39" s="41" t="s">
        <v>95</v>
      </c>
    </row>
    <row r="40" ht="18" customHeight="1">
      <c r="B40" s="41" t="s">
        <v>96</v>
      </c>
    </row>
    <row r="41" ht="18" customHeight="1">
      <c r="B41" s="41" t="s">
        <v>97</v>
      </c>
    </row>
    <row r="42" ht="18" customHeight="1">
      <c r="B42" s="41" t="s">
        <v>98</v>
      </c>
    </row>
    <row r="43" ht="18" customHeight="1">
      <c r="B43" s="41" t="s">
        <v>99</v>
      </c>
    </row>
    <row r="44" ht="18" customHeight="1">
      <c r="B44" s="41" t="s">
        <v>100</v>
      </c>
    </row>
    <row r="45" ht="18" customHeight="1">
      <c r="B45" s="41" t="s">
        <v>101</v>
      </c>
    </row>
    <row r="46" ht="18" customHeight="1">
      <c r="B46" s="41" t="s">
        <v>102</v>
      </c>
    </row>
  </sheetData>
  <sheetProtection password="D419" sheet="1" objects="1" scenarios="1"/>
  <printOptions/>
  <pageMargins left="0.3937007874015748" right="0.1968503937007874" top="0.984251968503937" bottom="0.984251968503937" header="0.5118110236220472" footer="0.5118110236220472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 Simplifié d'Elevage</dc:title>
  <dc:subject>Calcul des Rejets d'Azote et de Phosphore</dc:subject>
  <dc:creator>Jean-Yves DOURMAD</dc:creator>
  <cp:keywords/>
  <dc:description/>
  <cp:lastModifiedBy>Charles Bachand</cp:lastModifiedBy>
  <cp:lastPrinted>2004-08-11T17:40:05Z</cp:lastPrinted>
  <dcterms:created xsi:type="dcterms:W3CDTF">1997-04-09T12:22:24Z</dcterms:created>
  <dcterms:modified xsi:type="dcterms:W3CDTF">2004-08-24T14:05:43Z</dcterms:modified>
  <cp:category/>
  <cp:version/>
  <cp:contentType/>
  <cp:contentStatus/>
</cp:coreProperties>
</file>