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191" windowWidth="15165" windowHeight="8595" activeTab="0"/>
  </bookViews>
  <sheets>
    <sheet name="INTRO" sheetId="1" r:id="rId1"/>
    <sheet name="Marge" sheetId="2" r:id="rId2"/>
    <sheet name="AVOINE NON GRAINÉE" sheetId="3" r:id="rId3"/>
    <sheet name="AVOINE PLANTE-ABRI" sheetId="4" r:id="rId4"/>
    <sheet name="AVOINE NUE" sheetId="5" r:id="rId5"/>
    <sheet name="semis direct" sheetId="6" r:id="rId6"/>
  </sheets>
  <definedNames>
    <definedName name="_xlnm.Print_Area" localSheetId="2">'AVOINE NON GRAINÉE'!$A$1:$H$80</definedName>
    <definedName name="_xlnm.Print_Area" localSheetId="4">'AVOINE NUE'!$A$1:$H$83</definedName>
    <definedName name="_xlnm.Print_Area" localSheetId="3">'AVOINE PLANTE-ABRI'!$A$1:$H$79</definedName>
  </definedNames>
  <calcPr fullCalcOnLoad="1"/>
</workbook>
</file>

<file path=xl/sharedStrings.xml><?xml version="1.0" encoding="utf-8"?>
<sst xmlns="http://schemas.openxmlformats.org/spreadsheetml/2006/main" count="401" uniqueCount="199">
  <si>
    <t xml:space="preserve">NOM DE LA FERME: </t>
  </si>
  <si>
    <t>Adapté par:</t>
  </si>
  <si>
    <t>ITEM</t>
  </si>
  <si>
    <t>QTÉ</t>
  </si>
  <si>
    <t>PRIX</t>
  </si>
  <si>
    <t>UNITÉ</t>
  </si>
  <si>
    <t>COÛTS</t>
  </si>
  <si>
    <t>DÉBOURS</t>
  </si>
  <si>
    <t>LE</t>
  </si>
  <si>
    <t>TOTAUX</t>
  </si>
  <si>
    <t>VÔTRE</t>
  </si>
  <si>
    <t>A-  PRODUITS</t>
  </si>
  <si>
    <t>Grain  88 %  m.s.  ( kg  )</t>
  </si>
  <si>
    <t xml:space="preserve">         Total   ( A )</t>
  </si>
  <si>
    <t>B- DÉBOURS</t>
  </si>
  <si>
    <t>1- APPROVISIONNEMENTS:</t>
  </si>
  <si>
    <t>Semen TRIPLE CROWN cer.</t>
  </si>
  <si>
    <t>Fertilisants  (40-30-40)</t>
  </si>
  <si>
    <t>Pierre  à  chaux</t>
  </si>
  <si>
    <t>Pest.: MCPA  amine 500</t>
  </si>
  <si>
    <t>Total</t>
  </si>
  <si>
    <t>2-  OPÉRATIONS CULTURALES</t>
  </si>
  <si>
    <t>À  FORFAIT</t>
  </si>
  <si>
    <t>Coûts variables</t>
  </si>
  <si>
    <t xml:space="preserve">      Labour  ( loam )</t>
  </si>
  <si>
    <t xml:space="preserve">      Semoir à céréales</t>
  </si>
  <si>
    <t xml:space="preserve">        Total</t>
  </si>
  <si>
    <t>3-  ENTREPOSAGE- MARKETING</t>
  </si>
  <si>
    <t xml:space="preserve">      Séchage ( 18 à 13 % )</t>
  </si>
  <si>
    <t xml:space="preserve">    Transport hors ferme à forfait</t>
  </si>
  <si>
    <t xml:space="preserve">         Total</t>
  </si>
  <si>
    <t>4-  AUTRES FRAIS</t>
  </si>
  <si>
    <t xml:space="preserve">        Plan conjoint</t>
  </si>
  <si>
    <t xml:space="preserve">        Main-d'œuvre salariée</t>
  </si>
  <si>
    <t xml:space="preserve">        Intérêts marge crédit</t>
  </si>
  <si>
    <t xml:space="preserve">            Total</t>
  </si>
  <si>
    <t xml:space="preserve">           TOTAL  DÉBOURS   ( B )</t>
  </si>
  <si>
    <t>C- MARGE SUR DÉBOURS    ( A - B )</t>
  </si>
  <si>
    <t>D- DÉBOURS     $ /tonne</t>
  </si>
  <si>
    <t>Fertilisants  (45-60-135)</t>
  </si>
  <si>
    <t xml:space="preserve">        Partie imputée à la céréale: 45-35-45</t>
  </si>
  <si>
    <t>Pesticide.:1,25 l/ha Embutox 625+ 0,07 l/ha  MCPA  amine 500</t>
  </si>
  <si>
    <t xml:space="preserve">     Partie imputée à la céréale: 1/5</t>
  </si>
  <si>
    <t>Paille balles non pressées *</t>
  </si>
  <si>
    <t>mois</t>
  </si>
  <si>
    <t>Paille balles non pressées  *</t>
  </si>
  <si>
    <t xml:space="preserve">        Location  de la terre</t>
  </si>
  <si>
    <t>Semence AC Frégeau cer.</t>
  </si>
  <si>
    <t xml:space="preserve">        Location de terre</t>
  </si>
  <si>
    <t xml:space="preserve">        Entretien terre et taxes foncières nettes</t>
  </si>
  <si>
    <t>Moins:</t>
  </si>
  <si>
    <t xml:space="preserve">   Compensation de l'ASRA</t>
  </si>
  <si>
    <t xml:space="preserve">   Vente de paille</t>
  </si>
  <si>
    <t>-------------</t>
  </si>
  <si>
    <t xml:space="preserve">       Total</t>
  </si>
  <si>
    <t>Rendement  en tonne l'hectare</t>
  </si>
  <si>
    <t>Guy Beauregard, agronome</t>
  </si>
  <si>
    <t>COÛT DE PRODUCTION DE L'AVOINE  LA TONNE</t>
  </si>
  <si>
    <t xml:space="preserve">        20-15-20</t>
  </si>
  <si>
    <t>1/5</t>
  </si>
  <si>
    <t>Fertilisants  (50-30-40)</t>
  </si>
  <si>
    <t xml:space="preserve">        27,5-0-0</t>
  </si>
  <si>
    <t>Semen RIGODON cer.</t>
  </si>
  <si>
    <t xml:space="preserve">      Hersage lourd  (loam)</t>
  </si>
  <si>
    <t xml:space="preserve">      Vibroculteur   (loam)</t>
  </si>
  <si>
    <t xml:space="preserve">      Épandage engrais  1  fois  (Tracteur seulement)</t>
  </si>
  <si>
    <t xml:space="preserve">      Pulvérisation   1 fois</t>
  </si>
  <si>
    <t xml:space="preserve">      Batteuse  7,6 m</t>
  </si>
  <si>
    <t xml:space="preserve">      Transport  ferme  20 m³</t>
  </si>
  <si>
    <t xml:space="preserve">        Assur-récolte 85 %</t>
  </si>
  <si>
    <t xml:space="preserve">      Assur-récolte ind 85 %</t>
  </si>
  <si>
    <t xml:space="preserve">      Entreposage 166 t</t>
  </si>
  <si>
    <t xml:space="preserve">      Entreposage  166 t</t>
  </si>
  <si>
    <t xml:space="preserve">      Wagon à grain  benne 20 m³</t>
  </si>
  <si>
    <t xml:space="preserve">    Transport au point de vente</t>
  </si>
  <si>
    <t xml:space="preserve">      Wagon à grain benne 20 m³</t>
  </si>
  <si>
    <t>Réalisé par G. Beauregard, A. Brunelle et D. Ruel, agronomes, MAPAQ</t>
  </si>
  <si>
    <t>Réalisé par G. Beauregard et A. Brunelle, agronomes, MAPAQ</t>
  </si>
  <si>
    <t>Pest.: BUCTRIL M  (l)</t>
  </si>
  <si>
    <t>AVOINE PLANTE-ABRI</t>
  </si>
  <si>
    <t>COÛT DE PRODUCTION</t>
  </si>
  <si>
    <t>AVOINE FOURRAGÈRE</t>
  </si>
  <si>
    <t xml:space="preserve">          AVOINE NUE</t>
  </si>
  <si>
    <t>COÛT DE PRODUCTION DE L'AVOINE  NUE LA TONNE</t>
  </si>
  <si>
    <t>Coût de production  l'hectare</t>
  </si>
  <si>
    <t>Coût de production l'hectare</t>
  </si>
  <si>
    <t>--------------</t>
  </si>
  <si>
    <t>Nicolet,</t>
  </si>
  <si>
    <t>Total des débours:</t>
  </si>
  <si>
    <t>------------</t>
  </si>
  <si>
    <t>Le vôtre</t>
  </si>
  <si>
    <t>COÛT DE PRODUCTION MOYEN LA TONNE</t>
  </si>
  <si>
    <t xml:space="preserve">Nicolet, </t>
  </si>
  <si>
    <t xml:space="preserve">      Assur-récolte ind  85 %</t>
  </si>
  <si>
    <t xml:space="preserve">        Entretien de la terre et taxes foncières nettes</t>
  </si>
  <si>
    <t>COÛT DE PRODUCTION PARTIEL MOYEN  LA TONNE</t>
  </si>
  <si>
    <t>Grain  86 %  m.s.  ( kg  ) *</t>
  </si>
  <si>
    <t>COÛT DE PRODUCTION PARTIEL MOYEN DE L'AVOINE  NUE LA TONNE</t>
  </si>
  <si>
    <t xml:space="preserve">            BUDGET  AVOINE NON GRAINÉE   2006 L' HECTARE</t>
  </si>
  <si>
    <t xml:space="preserve">            BUDGET  AVOINE NUE   2006 L' HECTARE</t>
  </si>
  <si>
    <t>Prime:</t>
  </si>
  <si>
    <t xml:space="preserve">            BUDGET  AVOINE PLANTE-ABRI   2006  L' HECTARE</t>
  </si>
  <si>
    <t>Séchée et entreposée à la ferme</t>
  </si>
  <si>
    <t xml:space="preserve">      Semoir à céréales </t>
  </si>
  <si>
    <t xml:space="preserve">      Semoir à céréales semis direct</t>
  </si>
  <si>
    <t>COÛT DE PRODUCTION PARTIEL</t>
  </si>
  <si>
    <t xml:space="preserve">        Contribution ASRA prél. 2006</t>
  </si>
  <si>
    <t>Comp. ASRA prév. 2006</t>
  </si>
  <si>
    <t>Comp. ASRA  prév. 2006</t>
  </si>
  <si>
    <t xml:space="preserve">        Contribution ASRA  prél. 2006</t>
  </si>
  <si>
    <t xml:space="preserve">            BUDGET  AVOINE SEMIS DIRECT   2006 L' HECTARE</t>
  </si>
  <si>
    <r>
      <t xml:space="preserve">MARGE PRODUITS SUR DÉBOURS 7 février 2007 </t>
    </r>
    <r>
      <rPr>
        <b/>
        <vertAlign val="superscript"/>
        <sz val="12"/>
        <rFont val="Arial"/>
        <family val="2"/>
      </rPr>
      <t>(1)</t>
    </r>
  </si>
  <si>
    <t xml:space="preserve"> (Selon les budgets 2006 de Guy Beauregard et André Brunelle, agronomes au MAPAQ de Nicolet)</t>
  </si>
  <si>
    <t>CULTURE</t>
  </si>
  <si>
    <t>RENDEMENT</t>
  </si>
  <si>
    <t>Prix stabilisé</t>
  </si>
  <si>
    <t xml:space="preserve">MARGE </t>
  </si>
  <si>
    <t>KG / HA</t>
  </si>
  <si>
    <t>$ la tonne</t>
  </si>
  <si>
    <t>$/Ha</t>
  </si>
  <si>
    <t>1. GRAINS</t>
  </si>
  <si>
    <t>1- Soya  sans intrants chimiques   (Prix stabilisé +  80 $/t)</t>
  </si>
  <si>
    <t xml:space="preserve">2- Pois de conserverie </t>
  </si>
  <si>
    <t>3- Fève de couleur</t>
  </si>
  <si>
    <t>4- Maïs-grain sec vendu récolte (178 $/t + 27 $ compensation</t>
  </si>
  <si>
    <r>
      <t xml:space="preserve">5- Maïs-grain </t>
    </r>
    <r>
      <rPr>
        <b/>
        <sz val="9"/>
        <rFont val="Arial"/>
        <family val="2"/>
      </rPr>
      <t>humide</t>
    </r>
    <r>
      <rPr>
        <sz val="9"/>
        <rFont val="Arial"/>
        <family val="2"/>
      </rPr>
      <t xml:space="preserve"> vendu récolte (180-25 x ,8372) + 27 $ (comp.)</t>
    </r>
  </si>
  <si>
    <t>6- Maïs-grain  (semis direct)</t>
  </si>
  <si>
    <t>7- Maïs-grain  sur billons</t>
  </si>
  <si>
    <t>8- Blé d'alimentation humaine</t>
  </si>
  <si>
    <t>9- Maïs-grain  (compensation ASRA:  36,66 $/t)</t>
  </si>
  <si>
    <t>10- Orge de brasserie 2 rangs  (Prix stabilisé + 25 $/t)</t>
  </si>
  <si>
    <t>11- Orge de brasserie 6 rangs (Prix stabilisé + 15 $/t)</t>
  </si>
  <si>
    <t>12- Avoine nue (Prix stabilisé + 50 $ /t)</t>
  </si>
  <si>
    <t>13- Avoine semis direct</t>
  </si>
  <si>
    <t>14- Soya  sur billons (Prix stabilisé sans prime)</t>
  </si>
  <si>
    <t>15- Blé d'alimentation animale</t>
  </si>
  <si>
    <t>16- Avoine non grainée</t>
  </si>
  <si>
    <t>17- Soya  semis direct (Prix stabilisé sans prime)</t>
  </si>
  <si>
    <t>18- Soya  (Prix stabilisé sans prime)</t>
  </si>
  <si>
    <t>19- Canola   (avec fumier)</t>
  </si>
  <si>
    <t>20- Avoine  utilisée comme plante-abri</t>
  </si>
  <si>
    <t>21- Soya  avec prime  (Prix stabilisé +  85 $/t)</t>
  </si>
  <si>
    <t>22- Orge non grainée</t>
  </si>
  <si>
    <t>23- Orge  utilisée comme plante-abri</t>
  </si>
  <si>
    <t>24- Lin pour la graine</t>
  </si>
  <si>
    <t xml:space="preserve">2. FOURRAGES </t>
  </si>
  <si>
    <t>Tonnes / HA</t>
  </si>
  <si>
    <t>Prix / tonne</t>
  </si>
  <si>
    <t>Maïs fourrager  silo couloir ( 35 % m.s.) (3)</t>
  </si>
  <si>
    <t>Maïs fourrager  silo tour ( 35 % m.s.)</t>
  </si>
  <si>
    <t>Pâturage intensif   (89% m.s.)</t>
  </si>
  <si>
    <t>Pâturage en rotation  (89% m.s.)</t>
  </si>
  <si>
    <t>Ensilage mil-luzerne en silo couloir  (36% m.s.)</t>
  </si>
  <si>
    <r>
      <t xml:space="preserve">Ensilage mil-luzerne </t>
    </r>
    <r>
      <rPr>
        <b/>
        <sz val="10"/>
        <rFont val="Arial"/>
        <family val="2"/>
      </rPr>
      <t>annuelle</t>
    </r>
    <r>
      <rPr>
        <sz val="10"/>
        <rFont val="Arial"/>
        <family val="0"/>
      </rPr>
      <t xml:space="preserve"> en silo tour  (40% m.s.)</t>
    </r>
  </si>
  <si>
    <t>Ensilage mil-luzerne en silo-tour (40% m.s.)</t>
  </si>
  <si>
    <t>Foin mil-luzerne semis pur  (89% m.s.)</t>
  </si>
  <si>
    <t>Foin mil-luzerne avec orge (89% m.s.)</t>
  </si>
  <si>
    <r>
      <t xml:space="preserve">Foin </t>
    </r>
    <r>
      <rPr>
        <b/>
        <sz val="10"/>
        <rFont val="Arial"/>
        <family val="2"/>
      </rPr>
      <t xml:space="preserve">mil-luzerne </t>
    </r>
    <r>
      <rPr>
        <sz val="10"/>
        <rFont val="Arial"/>
        <family val="0"/>
      </rPr>
      <t>pour le commerce  (Grosses presses)</t>
    </r>
  </si>
  <si>
    <t>Foin mil-trèfle rouge avec orge (89% m.s.) (balles rondes)</t>
  </si>
  <si>
    <t>Ensilage mil-trèfle rouge-balles rondes enrobées (50% m.s.)</t>
  </si>
  <si>
    <r>
      <t xml:space="preserve">Foin </t>
    </r>
    <r>
      <rPr>
        <b/>
        <sz val="10"/>
        <rFont val="Arial"/>
        <family val="2"/>
      </rPr>
      <t>mil-brome</t>
    </r>
    <r>
      <rPr>
        <sz val="10"/>
        <rFont val="Arial"/>
        <family val="0"/>
      </rPr>
      <t xml:space="preserve"> pour le commerce  (Grosses presses)</t>
    </r>
  </si>
  <si>
    <t>Foin mil-trèfle rouge avec orge (petites balles rectangulaires)</t>
  </si>
  <si>
    <r>
      <t>N.B.</t>
    </r>
    <r>
      <rPr>
        <sz val="10"/>
        <rFont val="Arial"/>
        <family val="0"/>
      </rPr>
      <t xml:space="preserve"> (1) Nous faisons l'hypothèse que </t>
    </r>
    <r>
      <rPr>
        <b/>
        <sz val="11"/>
        <rFont val="Arial"/>
        <family val="2"/>
      </rPr>
      <t xml:space="preserve">toutes les terres et </t>
    </r>
    <r>
      <rPr>
        <b/>
        <u val="single"/>
        <sz val="11"/>
        <rFont val="Arial"/>
        <family val="2"/>
      </rPr>
      <t xml:space="preserve"> machines</t>
    </r>
    <r>
      <rPr>
        <b/>
        <sz val="11"/>
        <rFont val="Arial"/>
        <family val="2"/>
      </rPr>
      <t xml:space="preserve"> sont possédées par l'agriculteur.</t>
    </r>
  </si>
  <si>
    <t xml:space="preserve">        (2) Les marges varient avec les rendements et les prix obtenus. </t>
  </si>
  <si>
    <t xml:space="preserve">        (3) Basé sur un prix du foin de 130 $ la tonne à 89 % de matière sèche.</t>
  </si>
  <si>
    <r>
      <t xml:space="preserve">(1) </t>
    </r>
    <r>
      <rPr>
        <sz val="10"/>
        <rFont val="Arial"/>
        <family val="0"/>
      </rPr>
      <t xml:space="preserve"> MARGE PRODUITS SUR DÉBOURS = C'est ce qui reste à l'agriculteur pour vivre et effectuer les remboursements</t>
    </r>
  </si>
  <si>
    <r>
      <t xml:space="preserve">     sur les emprunts moyen et long terme de son entreprise. On parle ici en termes de </t>
    </r>
    <r>
      <rPr>
        <sz val="10"/>
        <rFont val="Arial"/>
        <family val="2"/>
      </rPr>
      <t>gestion financière.</t>
    </r>
  </si>
  <si>
    <t>INTRODUCTION</t>
  </si>
  <si>
    <t xml:space="preserve">Ces budgets de production ont été réalisés à l'intention des </t>
  </si>
  <si>
    <t>agronomes et des technologistes agricoles des centres de services agricoles</t>
  </si>
  <si>
    <t xml:space="preserve"> du ministère de l'Agriculture, des Pêcheries et de l'Alimentation de la direction</t>
  </si>
  <si>
    <t>régionale du Centre-du-Québec et des intervenants du milieu.</t>
  </si>
  <si>
    <t>Il s'agit de budgets-type qui devront être adaptés à l'entreprise  étudiée.</t>
  </si>
  <si>
    <t xml:space="preserve">Les entreprises céréalières qui ont servi de référence sont en production depuis </t>
  </si>
  <si>
    <t>plusieurs années. Et elles obtiennent de bons résultats. Le prix des grains provient</t>
  </si>
  <si>
    <t>des prévisions de compensation de la Financière agricole du Québec pour l'année</t>
  </si>
  <si>
    <t>2006-2007 en date du 2 février  2007.</t>
  </si>
  <si>
    <t>Les semences de céréales à paille ont été choisies en fonction de</t>
  </si>
  <si>
    <t xml:space="preserve">la zone de production n° 2 du C.P.V.Q. Les blés de printemps, les maïs-grain et </t>
  </si>
  <si>
    <t>les fèves sont produits sur des sols drainés souterrainement, bien nivelés, de tex-</t>
  </si>
  <si>
    <t xml:space="preserve">ture  loameuse, de fertilité moyenne + et  situés dans la zone climatique de 2 500 </t>
  </si>
  <si>
    <t>U.T.M. et plus.  L'avoine , l'orge et les fourrages sont cultivés sur des sols de mêmes</t>
  </si>
  <si>
    <t>spécifications, mais  hors de la zone de 2 500 U.T.M.</t>
  </si>
  <si>
    <t>Tous les intrants sont payés comptants: approvisionnements, opérations</t>
  </si>
  <si>
    <t>culturales, l'entreposage et les autres frais. Les engrais minéraux sont mélangés</t>
  </si>
  <si>
    <t>et livrés à la ferme dans un épandeur. Le producteur de référence achète entre 75 et</t>
  </si>
  <si>
    <t>100 tonnes d'engrais minéraux par an. De plus, l'utilisateur doit prendre note que nous</t>
  </si>
  <si>
    <t xml:space="preserve">avons utilisé 2 valeurs de fond de terre: 8 000 $ (blés, maïs-grain, fève de couleur et </t>
  </si>
  <si>
    <t>soya) et 4 000 $ l'hectare pour les avoines, canola et orges et les fourrages, dont</t>
  </si>
  <si>
    <t>le maïs fourrager. N'oubliez pas d'ajuster la valeur des terres à celle de votre secteur.</t>
  </si>
  <si>
    <t xml:space="preserve">               Dans un souci environnemental, nous avons fractionné les engrais, quand</t>
  </si>
  <si>
    <t>c'était possible et souhaitable.</t>
  </si>
  <si>
    <t xml:space="preserve">Les budgets utilisent les nouveaux coûts totaux et variables du CREAQ, </t>
  </si>
  <si>
    <t>datés du mois de décembre 2004 pour les coûts des opérations culturales. Toutefois,</t>
  </si>
  <si>
    <t>le prix du carburant a été majoré à 0,70 $ le litre. La main-d'œuvre salariée est à 13 $</t>
  </si>
  <si>
    <t xml:space="preserve">l'heure au niveau des coûts variables. Cela inclut les avantages marginaux. Les prix </t>
  </si>
  <si>
    <t>de la machinerie sont ceux de l'année 2003.</t>
  </si>
  <si>
    <t>L'agriculteur débutant aurait avantage à faire adapter les budgets</t>
  </si>
  <si>
    <t xml:space="preserve"> par un agronome.</t>
  </si>
</sst>
</file>

<file path=xl/styles.xml><?xml version="1.0" encoding="utf-8"?>
<styleSheet xmlns="http://schemas.openxmlformats.org/spreadsheetml/2006/main">
  <numFmts count="34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_-* #,##0.0\ &quot;$&quot;_-;\-* #,##0.0\ &quot;$&quot;_-;_-* &quot;-&quot;??\ &quot;$&quot;_-;_-@_-"/>
    <numFmt numFmtId="181" formatCode="_-* #,##0\ &quot;$&quot;_-;\-* #,##0\ &quot;$&quot;_-;_-* &quot;-&quot;??\ &quot;$&quot;_-;_-@_-"/>
    <numFmt numFmtId="182" formatCode="_-* #,##0.000\ &quot;$&quot;_-;\-* #,##0.000\ &quot;$&quot;_-;_-* &quot;-&quot;??\ &quot;$&quot;_-;_-@_-"/>
    <numFmt numFmtId="183" formatCode="_-* #,##0.0000\ &quot;$&quot;_-;\-* #,##0.0000\ &quot;$&quot;_-;_-* &quot;-&quot;??\ &quot;$&quot;_-;_-@_-"/>
    <numFmt numFmtId="184" formatCode="0.0%"/>
    <numFmt numFmtId="185" formatCode="0.0"/>
    <numFmt numFmtId="186" formatCode="0.000%"/>
    <numFmt numFmtId="187" formatCode="_-* #,##0.000\ _$_-;\-* #,##0.000\ _$_-;_-* &quot;-&quot;??\ _$_-;_-@_-"/>
    <numFmt numFmtId="188" formatCode="_-* #,##0.0000\ _$_-;\-* #,##0.0000\ _$_-;_-* &quot;-&quot;??\ _$_-;_-@_-"/>
    <numFmt numFmtId="189" formatCode="#,##0\ _$_-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vertAlign val="superscript"/>
      <sz val="12"/>
      <name val="Arial"/>
      <family val="2"/>
    </font>
    <font>
      <b/>
      <u val="single"/>
      <sz val="12"/>
      <name val="Arial"/>
      <family val="2"/>
    </font>
    <font>
      <b/>
      <sz val="9"/>
      <name val="Arial"/>
      <family val="2"/>
    </font>
    <font>
      <b/>
      <u val="single"/>
      <sz val="11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178" fontId="0" fillId="0" borderId="0" xfId="17" applyAlignment="1">
      <alignment/>
    </xf>
    <xf numFmtId="178" fontId="0" fillId="0" borderId="0" xfId="0" applyNumberFormat="1" applyAlignment="1">
      <alignment/>
    </xf>
    <xf numFmtId="178" fontId="0" fillId="0" borderId="0" xfId="17" applyAlignment="1">
      <alignment horizontal="center"/>
    </xf>
    <xf numFmtId="0" fontId="1" fillId="0" borderId="0" xfId="0" applyFont="1" applyAlignment="1" quotePrefix="1">
      <alignment horizontal="left"/>
    </xf>
    <xf numFmtId="0" fontId="0" fillId="0" borderId="0" xfId="0" applyAlignment="1" quotePrefix="1">
      <alignment horizontal="left"/>
    </xf>
    <xf numFmtId="178" fontId="1" fillId="0" borderId="0" xfId="17" applyFont="1" applyAlignment="1">
      <alignment/>
    </xf>
    <xf numFmtId="0" fontId="4" fillId="0" borderId="0" xfId="0" applyFont="1" applyAlignment="1">
      <alignment/>
    </xf>
    <xf numFmtId="178" fontId="0" fillId="0" borderId="0" xfId="17" applyFont="1" applyAlignment="1">
      <alignment/>
    </xf>
    <xf numFmtId="178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0" fontId="4" fillId="0" borderId="0" xfId="0" applyFont="1" applyAlignment="1" quotePrefix="1">
      <alignment horizontal="left"/>
    </xf>
    <xf numFmtId="0" fontId="0" fillId="0" borderId="0" xfId="0" applyFont="1" applyAlignment="1" quotePrefix="1">
      <alignment horizontal="left"/>
    </xf>
    <xf numFmtId="178" fontId="0" fillId="0" borderId="0" xfId="17" applyFont="1" applyBorder="1" applyAlignment="1">
      <alignment/>
    </xf>
    <xf numFmtId="2" fontId="0" fillId="0" borderId="0" xfId="0" applyNumberFormat="1" applyAlignment="1">
      <alignment/>
    </xf>
    <xf numFmtId="178" fontId="0" fillId="0" borderId="0" xfId="17" applyBorder="1" applyAlignment="1">
      <alignment/>
    </xf>
    <xf numFmtId="178" fontId="1" fillId="0" borderId="1" xfId="17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 quotePrefix="1">
      <alignment horizontal="left"/>
    </xf>
    <xf numFmtId="185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178" fontId="0" fillId="0" borderId="0" xfId="17" applyFont="1" applyAlignment="1">
      <alignment/>
    </xf>
    <xf numFmtId="14" fontId="0" fillId="0" borderId="0" xfId="0" applyNumberFormat="1" applyAlignment="1">
      <alignment horizontal="center"/>
    </xf>
    <xf numFmtId="0" fontId="7" fillId="0" borderId="0" xfId="0" applyFont="1" applyAlignment="1" quotePrefix="1">
      <alignment horizontal="left"/>
    </xf>
    <xf numFmtId="0" fontId="8" fillId="0" borderId="0" xfId="0" applyFont="1" applyAlignment="1">
      <alignment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79" fontId="0" fillId="0" borderId="0" xfId="15" applyAlignment="1">
      <alignment horizontal="center"/>
    </xf>
    <xf numFmtId="0" fontId="0" fillId="0" borderId="0" xfId="0" applyAlignment="1" quotePrefix="1">
      <alignment/>
    </xf>
    <xf numFmtId="179" fontId="0" fillId="0" borderId="0" xfId="15" applyAlignment="1">
      <alignment/>
    </xf>
    <xf numFmtId="1" fontId="1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78" fontId="0" fillId="0" borderId="0" xfId="17" applyFont="1" applyAlignment="1" quotePrefix="1">
      <alignment horizontal="center"/>
    </xf>
    <xf numFmtId="185" fontId="0" fillId="0" borderId="0" xfId="17" applyNumberFormat="1" applyAlignment="1">
      <alignment horizontal="center"/>
    </xf>
    <xf numFmtId="185" fontId="0" fillId="0" borderId="0" xfId="17" applyNumberFormat="1" applyFont="1" applyAlignment="1">
      <alignment horizontal="center"/>
    </xf>
    <xf numFmtId="10" fontId="0" fillId="0" borderId="0" xfId="19" applyNumberFormat="1" applyAlignment="1">
      <alignment/>
    </xf>
    <xf numFmtId="10" fontId="0" fillId="0" borderId="0" xfId="19" applyNumberFormat="1" applyAlignment="1">
      <alignment horizontal="center"/>
    </xf>
    <xf numFmtId="0" fontId="0" fillId="0" borderId="0" xfId="0" applyAlignment="1" quotePrefix="1">
      <alignment horizontal="center"/>
    </xf>
    <xf numFmtId="185" fontId="0" fillId="0" borderId="0" xfId="0" applyNumberFormat="1" applyAlignment="1">
      <alignment horizontal="center"/>
    </xf>
    <xf numFmtId="43" fontId="0" fillId="0" borderId="0" xfId="0" applyNumberFormat="1" applyAlignment="1">
      <alignment horizontal="center"/>
    </xf>
    <xf numFmtId="0" fontId="7" fillId="0" borderId="0" xfId="0" applyFont="1" applyAlignment="1">
      <alignment horizontal="right"/>
    </xf>
    <xf numFmtId="0" fontId="6" fillId="0" borderId="0" xfId="0" applyFont="1" applyAlignment="1">
      <alignment/>
    </xf>
    <xf numFmtId="2" fontId="0" fillId="0" borderId="0" xfId="17" applyNumberFormat="1" applyFont="1" applyAlignment="1">
      <alignment horizontal="center"/>
    </xf>
    <xf numFmtId="178" fontId="10" fillId="0" borderId="0" xfId="17" applyFont="1" applyBorder="1" applyAlignment="1">
      <alignment/>
    </xf>
    <xf numFmtId="0" fontId="1" fillId="0" borderId="0" xfId="0" applyFont="1" applyAlignment="1">
      <alignment/>
    </xf>
    <xf numFmtId="178" fontId="9" fillId="0" borderId="2" xfId="17" applyFont="1" applyBorder="1" applyAlignment="1">
      <alignment/>
    </xf>
    <xf numFmtId="14" fontId="0" fillId="0" borderId="0" xfId="0" applyNumberFormat="1" applyAlignment="1">
      <alignment/>
    </xf>
    <xf numFmtId="178" fontId="0" fillId="0" borderId="0" xfId="0" applyNumberFormat="1" applyAlignment="1">
      <alignment horizontal="center"/>
    </xf>
    <xf numFmtId="178" fontId="0" fillId="0" borderId="0" xfId="17" applyFont="1" applyAlignment="1">
      <alignment horizontal="center"/>
    </xf>
    <xf numFmtId="178" fontId="9" fillId="0" borderId="2" xfId="0" applyNumberFormat="1" applyFont="1" applyBorder="1" applyAlignment="1">
      <alignment/>
    </xf>
    <xf numFmtId="178" fontId="7" fillId="0" borderId="0" xfId="17" applyFont="1" applyAlignment="1">
      <alignment/>
    </xf>
    <xf numFmtId="0" fontId="1" fillId="0" borderId="0" xfId="0" applyFont="1" applyAlignment="1">
      <alignment horizontal="right"/>
    </xf>
    <xf numFmtId="0" fontId="10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189" fontId="0" fillId="0" borderId="0" xfId="0" applyNumberFormat="1" applyFont="1" applyAlignment="1">
      <alignment horizontal="center"/>
    </xf>
    <xf numFmtId="189" fontId="0" fillId="0" borderId="0" xfId="0" applyNumberFormat="1" applyAlignment="1">
      <alignment horizontal="center"/>
    </xf>
    <xf numFmtId="44" fontId="0" fillId="0" borderId="0" xfId="0" applyNumberFormat="1" applyAlignment="1">
      <alignment/>
    </xf>
    <xf numFmtId="0" fontId="7" fillId="0" borderId="0" xfId="0" applyFont="1" applyAlignment="1">
      <alignment/>
    </xf>
    <xf numFmtId="178" fontId="0" fillId="0" borderId="0" xfId="17" applyFont="1" applyAlignment="1">
      <alignment horizontal="center"/>
    </xf>
    <xf numFmtId="185" fontId="0" fillId="0" borderId="0" xfId="0" applyNumberFormat="1" applyBorder="1" applyAlignment="1">
      <alignment horizontal="center"/>
    </xf>
    <xf numFmtId="0" fontId="0" fillId="0" borderId="3" xfId="0" applyBorder="1" applyAlignment="1">
      <alignment/>
    </xf>
    <xf numFmtId="178" fontId="0" fillId="0" borderId="3" xfId="17" applyBorder="1" applyAlignment="1">
      <alignment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workbookViewId="0" topLeftCell="A1">
      <selection activeCell="K11" sqref="K11"/>
    </sheetView>
  </sheetViews>
  <sheetFormatPr defaultColWidth="11.421875" defaultRowHeight="12.75"/>
  <sheetData>
    <row r="1" ht="12.75">
      <c r="A1" t="s">
        <v>167</v>
      </c>
    </row>
    <row r="5" ht="12.75">
      <c r="B5" t="s">
        <v>168</v>
      </c>
    </row>
    <row r="6" ht="12.75">
      <c r="A6" t="s">
        <v>169</v>
      </c>
    </row>
    <row r="7" ht="12.75">
      <c r="A7" t="s">
        <v>170</v>
      </c>
    </row>
    <row r="8" ht="12.75">
      <c r="A8" t="s">
        <v>171</v>
      </c>
    </row>
    <row r="10" ht="12.75">
      <c r="B10" t="s">
        <v>172</v>
      </c>
    </row>
    <row r="11" ht="12.75">
      <c r="A11" t="s">
        <v>173</v>
      </c>
    </row>
    <row r="12" ht="12.75">
      <c r="A12" t="s">
        <v>174</v>
      </c>
    </row>
    <row r="13" ht="12.75">
      <c r="A13" t="s">
        <v>175</v>
      </c>
    </row>
    <row r="14" ht="12.75">
      <c r="A14" t="s">
        <v>176</v>
      </c>
    </row>
    <row r="16" ht="12.75">
      <c r="B16" t="s">
        <v>177</v>
      </c>
    </row>
    <row r="17" ht="12.75">
      <c r="A17" t="s">
        <v>178</v>
      </c>
    </row>
    <row r="18" ht="12.75">
      <c r="A18" t="s">
        <v>179</v>
      </c>
    </row>
    <row r="19" ht="12.75">
      <c r="A19" t="s">
        <v>180</v>
      </c>
    </row>
    <row r="20" ht="12.75">
      <c r="A20" t="s">
        <v>181</v>
      </c>
    </row>
    <row r="21" ht="12.75">
      <c r="A21" t="s">
        <v>182</v>
      </c>
    </row>
    <row r="23" ht="12.75">
      <c r="B23" t="s">
        <v>183</v>
      </c>
    </row>
    <row r="24" ht="12.75">
      <c r="A24" t="s">
        <v>184</v>
      </c>
    </row>
    <row r="25" ht="12.75">
      <c r="A25" t="s">
        <v>185</v>
      </c>
    </row>
    <row r="26" ht="12.75">
      <c r="A26" t="s">
        <v>186</v>
      </c>
    </row>
    <row r="27" ht="12.75">
      <c r="A27" t="s">
        <v>187</v>
      </c>
    </row>
    <row r="28" ht="12.75">
      <c r="A28" t="s">
        <v>188</v>
      </c>
    </row>
    <row r="29" ht="12.75">
      <c r="A29" t="s">
        <v>189</v>
      </c>
    </row>
    <row r="31" ht="12.75">
      <c r="A31" t="s">
        <v>190</v>
      </c>
    </row>
    <row r="32" ht="12.75">
      <c r="A32" t="s">
        <v>191</v>
      </c>
    </row>
    <row r="34" ht="12.75">
      <c r="G34" t="s">
        <v>192</v>
      </c>
    </row>
    <row r="35" ht="12.75">
      <c r="A35" t="s">
        <v>193</v>
      </c>
    </row>
    <row r="36" ht="12.75">
      <c r="A36" t="s">
        <v>194</v>
      </c>
    </row>
    <row r="37" ht="12.75">
      <c r="A37" t="s">
        <v>195</v>
      </c>
    </row>
    <row r="38" ht="12.75">
      <c r="A38" t="s">
        <v>196</v>
      </c>
    </row>
    <row r="40" ht="12.75">
      <c r="B40" t="s">
        <v>197</v>
      </c>
    </row>
    <row r="41" ht="12.75">
      <c r="A41" t="s">
        <v>198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4"/>
  <sheetViews>
    <sheetView workbookViewId="0" topLeftCell="A1">
      <selection activeCell="F6" sqref="F6"/>
    </sheetView>
  </sheetViews>
  <sheetFormatPr defaultColWidth="11.421875" defaultRowHeight="12.75"/>
  <cols>
    <col min="1" max="1" width="58.8515625" style="0" customWidth="1"/>
    <col min="2" max="2" width="18.28125" style="0" customWidth="1"/>
    <col min="3" max="3" width="18.140625" style="0" customWidth="1"/>
  </cols>
  <sheetData>
    <row r="1" spans="1:4" ht="18.75">
      <c r="A1" s="75" t="s">
        <v>111</v>
      </c>
      <c r="B1" s="75"/>
      <c r="C1" s="75"/>
      <c r="D1" s="75"/>
    </row>
    <row r="2" spans="1:4" ht="12.75">
      <c r="A2" s="76" t="s">
        <v>112</v>
      </c>
      <c r="B2" s="76"/>
      <c r="C2" s="76"/>
      <c r="D2" s="76"/>
    </row>
    <row r="3" spans="1:4" ht="12.75">
      <c r="A3" s="63"/>
      <c r="B3" s="63"/>
      <c r="C3" s="63"/>
      <c r="D3" s="64"/>
    </row>
    <row r="4" spans="1:4" ht="15.75">
      <c r="A4" s="65" t="s">
        <v>113</v>
      </c>
      <c r="B4" s="62" t="s">
        <v>114</v>
      </c>
      <c r="C4" s="62" t="s">
        <v>115</v>
      </c>
      <c r="D4" s="62" t="s">
        <v>116</v>
      </c>
    </row>
    <row r="5" spans="1:4" ht="15.75">
      <c r="A5" s="53"/>
      <c r="B5" s="66" t="s">
        <v>117</v>
      </c>
      <c r="C5" s="66" t="s">
        <v>118</v>
      </c>
      <c r="D5" s="66" t="s">
        <v>119</v>
      </c>
    </row>
    <row r="6" ht="15.75">
      <c r="A6" s="50" t="s">
        <v>120</v>
      </c>
    </row>
    <row r="7" spans="1:4" ht="12.75">
      <c r="A7" s="27" t="s">
        <v>121</v>
      </c>
      <c r="B7" s="67">
        <v>2880</v>
      </c>
      <c r="C7" s="28">
        <v>405.74</v>
      </c>
      <c r="D7" s="28">
        <v>653.98</v>
      </c>
    </row>
    <row r="8" spans="1:4" ht="12.75">
      <c r="A8" t="s">
        <v>122</v>
      </c>
      <c r="B8" s="68">
        <v>4000</v>
      </c>
      <c r="C8" s="5">
        <v>311</v>
      </c>
      <c r="D8" s="69">
        <v>538.67</v>
      </c>
    </row>
    <row r="9" spans="1:4" ht="12.75">
      <c r="A9" t="s">
        <v>123</v>
      </c>
      <c r="B9" s="68">
        <v>2100</v>
      </c>
      <c r="C9" s="5">
        <v>700</v>
      </c>
      <c r="D9" s="69">
        <v>517.63</v>
      </c>
    </row>
    <row r="10" spans="1:4" ht="12.75">
      <c r="A10" s="70" t="s">
        <v>124</v>
      </c>
      <c r="B10" s="68">
        <v>8500</v>
      </c>
      <c r="C10" s="5">
        <v>204.66</v>
      </c>
      <c r="D10" s="12">
        <v>486.89</v>
      </c>
    </row>
    <row r="11" spans="1:4" ht="12.75">
      <c r="A11" s="70" t="s">
        <v>125</v>
      </c>
      <c r="B11" s="68">
        <v>10153</v>
      </c>
      <c r="C11" s="5">
        <v>154.76</v>
      </c>
      <c r="D11" s="12">
        <v>451.44</v>
      </c>
    </row>
    <row r="12" spans="1:4" ht="12.75">
      <c r="A12" s="27" t="s">
        <v>126</v>
      </c>
      <c r="B12" s="67">
        <v>8500</v>
      </c>
      <c r="C12" s="28">
        <v>204.66</v>
      </c>
      <c r="D12" s="28">
        <v>417.4</v>
      </c>
    </row>
    <row r="13" spans="1:4" ht="12.75">
      <c r="A13" s="27" t="s">
        <v>127</v>
      </c>
      <c r="B13" s="67">
        <v>8500</v>
      </c>
      <c r="C13" s="28">
        <v>204.66</v>
      </c>
      <c r="D13" s="28">
        <v>412.29</v>
      </c>
    </row>
    <row r="14" spans="1:4" ht="12.75">
      <c r="A14" t="s">
        <v>128</v>
      </c>
      <c r="B14" s="68">
        <v>3550</v>
      </c>
      <c r="C14" s="12">
        <v>347.65</v>
      </c>
      <c r="D14" s="12">
        <v>408.33</v>
      </c>
    </row>
    <row r="15" spans="1:4" ht="12.75">
      <c r="A15" s="27" t="s">
        <v>129</v>
      </c>
      <c r="B15" s="67">
        <v>8500</v>
      </c>
      <c r="C15" s="28">
        <v>204.66</v>
      </c>
      <c r="D15" s="28">
        <v>376.81</v>
      </c>
    </row>
    <row r="16" spans="1:4" ht="12.75">
      <c r="A16" t="s">
        <v>130</v>
      </c>
      <c r="B16" s="68">
        <v>3500</v>
      </c>
      <c r="C16" s="7">
        <v>274.68</v>
      </c>
      <c r="D16" s="69">
        <v>376.7</v>
      </c>
    </row>
    <row r="17" spans="1:4" ht="12.75">
      <c r="A17" t="s">
        <v>131</v>
      </c>
      <c r="B17" s="68">
        <v>3500</v>
      </c>
      <c r="C17" s="7">
        <v>264.68</v>
      </c>
      <c r="D17" s="69">
        <v>361.96</v>
      </c>
    </row>
    <row r="18" spans="1:4" ht="12.75">
      <c r="A18" t="s">
        <v>132</v>
      </c>
      <c r="B18" s="68">
        <v>2250</v>
      </c>
      <c r="C18" s="12">
        <v>307.67</v>
      </c>
      <c r="D18" s="12">
        <v>350.22</v>
      </c>
    </row>
    <row r="19" spans="1:4" ht="12.75">
      <c r="A19" t="s">
        <v>133</v>
      </c>
      <c r="B19" s="68">
        <v>3000</v>
      </c>
      <c r="C19" s="12">
        <v>257.67</v>
      </c>
      <c r="D19" s="69">
        <v>339.32</v>
      </c>
    </row>
    <row r="20" spans="1:4" ht="12.75">
      <c r="A20" s="27" t="s">
        <v>134</v>
      </c>
      <c r="B20" s="67">
        <v>3000</v>
      </c>
      <c r="C20" s="28">
        <v>325.74</v>
      </c>
      <c r="D20" s="28">
        <v>326.01</v>
      </c>
    </row>
    <row r="21" spans="1:4" ht="12.75">
      <c r="A21" t="s">
        <v>135</v>
      </c>
      <c r="B21" s="68">
        <v>3400</v>
      </c>
      <c r="C21" s="12">
        <v>281.18</v>
      </c>
      <c r="D21" s="12">
        <v>321.58</v>
      </c>
    </row>
    <row r="22" spans="1:4" ht="12.75">
      <c r="A22" t="s">
        <v>136</v>
      </c>
      <c r="B22" s="68">
        <v>3100</v>
      </c>
      <c r="C22" s="12">
        <v>257.67</v>
      </c>
      <c r="D22" s="69">
        <v>317.57</v>
      </c>
    </row>
    <row r="23" spans="1:4" ht="12.75">
      <c r="A23" s="27" t="s">
        <v>137</v>
      </c>
      <c r="B23" s="67">
        <v>3000</v>
      </c>
      <c r="C23" s="28">
        <v>325.74</v>
      </c>
      <c r="D23" s="28">
        <v>313.94</v>
      </c>
    </row>
    <row r="24" spans="1:4" ht="12.75">
      <c r="A24" s="27" t="s">
        <v>138</v>
      </c>
      <c r="B24" s="67">
        <v>3000</v>
      </c>
      <c r="C24" s="28">
        <v>325.74</v>
      </c>
      <c r="D24" s="28">
        <v>283.67</v>
      </c>
    </row>
    <row r="25" spans="1:4" ht="12.75">
      <c r="A25" t="s">
        <v>139</v>
      </c>
      <c r="B25" s="68">
        <v>2200</v>
      </c>
      <c r="C25" s="5">
        <v>471.43</v>
      </c>
      <c r="D25" s="5">
        <v>270.89</v>
      </c>
    </row>
    <row r="26" spans="1:4" ht="12.75">
      <c r="A26" t="s">
        <v>140</v>
      </c>
      <c r="B26" s="68">
        <v>2250</v>
      </c>
      <c r="C26" s="12">
        <v>257.67</v>
      </c>
      <c r="D26" s="5">
        <v>246.47</v>
      </c>
    </row>
    <row r="27" spans="1:4" ht="12.75">
      <c r="A27" s="27" t="s">
        <v>141</v>
      </c>
      <c r="B27" s="67">
        <v>2250</v>
      </c>
      <c r="C27" s="28">
        <v>410.74</v>
      </c>
      <c r="D27" s="28">
        <v>245.49</v>
      </c>
    </row>
    <row r="28" spans="1:4" ht="12.75">
      <c r="A28" t="s">
        <v>142</v>
      </c>
      <c r="B28" s="68">
        <v>3500</v>
      </c>
      <c r="C28" s="5">
        <v>249.68</v>
      </c>
      <c r="D28" s="69">
        <v>243.29</v>
      </c>
    </row>
    <row r="29" spans="1:4" ht="12.75">
      <c r="A29" t="s">
        <v>143</v>
      </c>
      <c r="B29" s="68">
        <v>2600</v>
      </c>
      <c r="C29" s="5">
        <v>249.68</v>
      </c>
      <c r="D29" s="69">
        <v>237.08</v>
      </c>
    </row>
    <row r="30" spans="1:4" ht="12.75">
      <c r="A30" t="s">
        <v>144</v>
      </c>
      <c r="B30" s="68">
        <v>1800</v>
      </c>
      <c r="C30" s="7">
        <v>360</v>
      </c>
      <c r="D30" s="69">
        <v>169.17</v>
      </c>
    </row>
    <row r="31" spans="1:4" ht="15.75">
      <c r="A31" s="50" t="s">
        <v>145</v>
      </c>
      <c r="B31" s="66" t="s">
        <v>146</v>
      </c>
      <c r="C31" s="66" t="s">
        <v>147</v>
      </c>
      <c r="D31" s="5"/>
    </row>
    <row r="32" spans="1:4" ht="12.75">
      <c r="A32" t="s">
        <v>148</v>
      </c>
      <c r="B32" s="47">
        <v>40</v>
      </c>
      <c r="C32" s="71">
        <v>50</v>
      </c>
      <c r="D32" s="12">
        <v>1270.19</v>
      </c>
    </row>
    <row r="33" spans="1:4" ht="12.75">
      <c r="A33" t="s">
        <v>149</v>
      </c>
      <c r="B33" s="47">
        <v>40</v>
      </c>
      <c r="C33" s="5">
        <v>50</v>
      </c>
      <c r="D33" s="5">
        <v>1133.74</v>
      </c>
    </row>
    <row r="34" spans="1:4" ht="12.75">
      <c r="A34" t="s">
        <v>150</v>
      </c>
      <c r="B34" s="47">
        <v>6</v>
      </c>
      <c r="C34" s="5">
        <v>130</v>
      </c>
      <c r="D34" s="5">
        <v>500.95</v>
      </c>
    </row>
    <row r="35" spans="1:4" ht="12.75">
      <c r="A35" t="s">
        <v>151</v>
      </c>
      <c r="B35" s="47">
        <v>5.2</v>
      </c>
      <c r="C35" s="12">
        <v>130</v>
      </c>
      <c r="D35" s="5">
        <v>399.51</v>
      </c>
    </row>
    <row r="36" spans="1:4" ht="12.75">
      <c r="A36" t="s">
        <v>152</v>
      </c>
      <c r="B36" s="47">
        <v>17.8</v>
      </c>
      <c r="C36" s="12">
        <v>52.58</v>
      </c>
      <c r="D36" s="5">
        <v>386.58</v>
      </c>
    </row>
    <row r="37" spans="1:4" ht="12.75">
      <c r="A37" t="s">
        <v>153</v>
      </c>
      <c r="B37" s="47">
        <v>20</v>
      </c>
      <c r="C37" s="12">
        <v>58.5</v>
      </c>
      <c r="D37" s="5">
        <v>359.7</v>
      </c>
    </row>
    <row r="38" spans="1:4" ht="12.75">
      <c r="A38" t="s">
        <v>154</v>
      </c>
      <c r="B38" s="47">
        <v>16</v>
      </c>
      <c r="C38" s="12">
        <v>58.5</v>
      </c>
      <c r="D38" s="5">
        <v>356.89</v>
      </c>
    </row>
    <row r="39" spans="1:4" ht="12.75">
      <c r="A39" t="s">
        <v>155</v>
      </c>
      <c r="B39" s="47">
        <v>7</v>
      </c>
      <c r="C39" s="12">
        <v>130</v>
      </c>
      <c r="D39" s="5">
        <v>326.24</v>
      </c>
    </row>
    <row r="40" spans="1:4" ht="12.75">
      <c r="A40" t="s">
        <v>156</v>
      </c>
      <c r="B40" s="47">
        <v>7</v>
      </c>
      <c r="C40" s="12">
        <v>130</v>
      </c>
      <c r="D40" s="5">
        <v>289.45</v>
      </c>
    </row>
    <row r="41" spans="1:4" ht="12.75">
      <c r="A41" t="s">
        <v>157</v>
      </c>
      <c r="B41" s="47">
        <v>6.5</v>
      </c>
      <c r="C41" s="12">
        <v>130</v>
      </c>
      <c r="D41" s="28">
        <v>281.38</v>
      </c>
    </row>
    <row r="42" spans="1:4" ht="12.75">
      <c r="A42" t="s">
        <v>158</v>
      </c>
      <c r="B42" s="47">
        <v>6</v>
      </c>
      <c r="C42" s="12">
        <v>130</v>
      </c>
      <c r="D42" s="5">
        <v>272.52</v>
      </c>
    </row>
    <row r="43" spans="1:4" ht="12.75">
      <c r="A43" t="s">
        <v>159</v>
      </c>
      <c r="B43" s="47">
        <v>10.8</v>
      </c>
      <c r="C43" s="12">
        <v>73.03</v>
      </c>
      <c r="D43" s="12">
        <v>271.78</v>
      </c>
    </row>
    <row r="44" spans="1:4" ht="12.75">
      <c r="A44" t="s">
        <v>160</v>
      </c>
      <c r="B44" s="47">
        <v>7</v>
      </c>
      <c r="C44" s="12">
        <v>130</v>
      </c>
      <c r="D44" s="28">
        <v>271.41</v>
      </c>
    </row>
    <row r="45" spans="1:4" ht="12.75">
      <c r="A45" t="s">
        <v>161</v>
      </c>
      <c r="B45" s="47">
        <v>6</v>
      </c>
      <c r="C45" s="12">
        <v>130</v>
      </c>
      <c r="D45" s="5">
        <v>221.64</v>
      </c>
    </row>
    <row r="46" spans="2:4" ht="12.75">
      <c r="B46" s="47"/>
      <c r="D46" s="5"/>
    </row>
    <row r="47" spans="1:4" ht="15">
      <c r="A47" s="53" t="s">
        <v>162</v>
      </c>
      <c r="B47" s="47"/>
      <c r="D47" s="5"/>
    </row>
    <row r="48" spans="1:4" ht="12.75">
      <c r="A48" t="s">
        <v>163</v>
      </c>
      <c r="B48" s="72"/>
      <c r="C48" s="23"/>
      <c r="D48" s="21"/>
    </row>
    <row r="49" spans="1:4" ht="12.75">
      <c r="A49" t="s">
        <v>164</v>
      </c>
      <c r="C49" s="47"/>
      <c r="D49" s="5"/>
    </row>
    <row r="50" spans="1:4" ht="12.75">
      <c r="A50" s="73"/>
      <c r="B50" s="73"/>
      <c r="C50" s="73"/>
      <c r="D50" s="74"/>
    </row>
    <row r="51" spans="1:4" ht="12.75">
      <c r="A51" s="53" t="s">
        <v>165</v>
      </c>
      <c r="D51" s="5"/>
    </row>
    <row r="52" spans="1:4" ht="12.75">
      <c r="A52" t="s">
        <v>166</v>
      </c>
      <c r="D52" s="5"/>
    </row>
    <row r="53" ht="12.75">
      <c r="D53" s="5"/>
    </row>
    <row r="54" ht="12.75">
      <c r="D54" s="5"/>
    </row>
  </sheetData>
  <mergeCells count="2">
    <mergeCell ref="A1:D1"/>
    <mergeCell ref="A2:D2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4"/>
  <sheetViews>
    <sheetView workbookViewId="0" topLeftCell="A1">
      <selection activeCell="A1" sqref="A1"/>
    </sheetView>
  </sheetViews>
  <sheetFormatPr defaultColWidth="11.421875" defaultRowHeight="12.75"/>
  <cols>
    <col min="2" max="2" width="12.140625" style="0" customWidth="1"/>
    <col min="3" max="3" width="8.00390625" style="0" customWidth="1"/>
    <col min="4" max="4" width="10.28125" style="0" customWidth="1"/>
    <col min="5" max="5" width="8.7109375" style="0" customWidth="1"/>
    <col min="8" max="8" width="14.00390625" style="0" customWidth="1"/>
  </cols>
  <sheetData>
    <row r="1" spans="2:7" ht="18.75" customHeight="1">
      <c r="B1" s="24" t="s">
        <v>98</v>
      </c>
      <c r="E1" s="2"/>
      <c r="F1" s="2"/>
      <c r="G1" s="2"/>
    </row>
    <row r="3" spans="2:8" ht="14.25">
      <c r="B3" s="8" t="s">
        <v>0</v>
      </c>
      <c r="D3" s="61"/>
      <c r="H3" s="29">
        <v>39120</v>
      </c>
    </row>
    <row r="4" ht="12.75">
      <c r="B4" s="9" t="s">
        <v>1</v>
      </c>
    </row>
    <row r="5" ht="12.75">
      <c r="B5" s="14" t="s">
        <v>77</v>
      </c>
    </row>
    <row r="7" spans="1:8" ht="15" customHeight="1">
      <c r="A7" s="15" t="s">
        <v>2</v>
      </c>
      <c r="B7" s="1"/>
      <c r="C7" s="15" t="s">
        <v>3</v>
      </c>
      <c r="D7" s="15" t="s">
        <v>4</v>
      </c>
      <c r="E7" s="15" t="s">
        <v>5</v>
      </c>
      <c r="F7" s="4" t="s">
        <v>6</v>
      </c>
      <c r="G7" s="15" t="s">
        <v>7</v>
      </c>
      <c r="H7" s="3" t="s">
        <v>8</v>
      </c>
    </row>
    <row r="8" spans="3:8" ht="15" customHeight="1">
      <c r="C8" s="1"/>
      <c r="D8" s="1"/>
      <c r="E8" s="1"/>
      <c r="F8" s="15" t="s">
        <v>9</v>
      </c>
      <c r="G8" s="1"/>
      <c r="H8" s="16" t="s">
        <v>10</v>
      </c>
    </row>
    <row r="9" spans="1:8" ht="14.25" customHeight="1">
      <c r="A9" s="8" t="s">
        <v>11</v>
      </c>
      <c r="C9" s="27"/>
      <c r="D9" s="1"/>
      <c r="E9" s="1"/>
      <c r="F9" s="3"/>
      <c r="G9" s="1"/>
      <c r="H9" s="4"/>
    </row>
    <row r="10" spans="1:8" ht="12.75">
      <c r="A10" s="18" t="s">
        <v>12</v>
      </c>
      <c r="B10" s="1"/>
      <c r="C10" s="39">
        <v>3100</v>
      </c>
      <c r="D10" s="5">
        <v>126</v>
      </c>
      <c r="E10" s="34">
        <v>1000</v>
      </c>
      <c r="F10" s="5">
        <v>390.6</v>
      </c>
      <c r="G10" s="5">
        <f>+F10</f>
        <v>390.6</v>
      </c>
      <c r="H10" s="7">
        <f>C10*D10/E10</f>
        <v>390.6</v>
      </c>
    </row>
    <row r="11" spans="1:8" ht="12.75">
      <c r="A11" s="30" t="s">
        <v>107</v>
      </c>
      <c r="B11" s="1"/>
      <c r="C11" s="40">
        <v>3200</v>
      </c>
      <c r="D11" s="5">
        <v>131.67</v>
      </c>
      <c r="E11" s="34">
        <v>1000</v>
      </c>
      <c r="F11" s="5">
        <v>421.34</v>
      </c>
      <c r="G11" s="5">
        <f>+F11</f>
        <v>421.34</v>
      </c>
      <c r="H11" s="7">
        <v>421.34</v>
      </c>
    </row>
    <row r="12" spans="1:8" ht="12.75">
      <c r="A12" s="26" t="s">
        <v>43</v>
      </c>
      <c r="B12" s="1"/>
      <c r="C12" s="40">
        <v>125</v>
      </c>
      <c r="D12" s="5">
        <v>0.9</v>
      </c>
      <c r="E12" s="34">
        <v>1</v>
      </c>
      <c r="F12" s="5">
        <v>112.5</v>
      </c>
      <c r="G12" s="5">
        <f>+F12</f>
        <v>112.5</v>
      </c>
      <c r="H12" s="7">
        <f>C12*D12/E12</f>
        <v>112.5</v>
      </c>
    </row>
    <row r="13" spans="1:8" ht="12.75">
      <c r="A13" s="26" t="s">
        <v>13</v>
      </c>
      <c r="B13" s="1"/>
      <c r="C13" s="25"/>
      <c r="D13" s="5">
        <f>D10+D11</f>
        <v>257.66999999999996</v>
      </c>
      <c r="F13" s="5">
        <f>SUM(F10:F12)</f>
        <v>924.44</v>
      </c>
      <c r="G13" s="5">
        <f>SUM(G10:G12)</f>
        <v>924.44</v>
      </c>
      <c r="H13" s="7">
        <f>SUM(H10:H12)</f>
        <v>924.44</v>
      </c>
    </row>
    <row r="14" spans="1:8" ht="18.75" customHeight="1">
      <c r="A14" s="8" t="s">
        <v>14</v>
      </c>
      <c r="F14" s="5"/>
      <c r="G14" s="5"/>
      <c r="H14" s="5"/>
    </row>
    <row r="15" spans="1:7" ht="12.75">
      <c r="A15" s="11" t="s">
        <v>15</v>
      </c>
      <c r="F15" s="5"/>
      <c r="G15" s="5"/>
    </row>
    <row r="16" spans="1:8" ht="14.25" customHeight="1">
      <c r="A16" s="30" t="s">
        <v>62</v>
      </c>
      <c r="C16" s="34">
        <v>150</v>
      </c>
      <c r="D16" s="5">
        <v>18.25</v>
      </c>
      <c r="E16" s="34">
        <v>40</v>
      </c>
      <c r="F16" s="5">
        <v>68.44</v>
      </c>
      <c r="G16" s="5">
        <f>+F16</f>
        <v>68.44</v>
      </c>
      <c r="H16" s="5">
        <f>C16*D16/E16</f>
        <v>68.4375</v>
      </c>
    </row>
    <row r="17" spans="1:8" ht="12.75">
      <c r="A17" s="9" t="s">
        <v>17</v>
      </c>
      <c r="C17" s="34"/>
      <c r="D17" s="5"/>
      <c r="F17" s="5"/>
      <c r="G17" s="5"/>
      <c r="H17" s="5"/>
    </row>
    <row r="18" spans="1:8" ht="12.75">
      <c r="A18" s="9" t="s">
        <v>58</v>
      </c>
      <c r="C18" s="34">
        <v>200</v>
      </c>
      <c r="D18" s="5">
        <v>486.79</v>
      </c>
      <c r="E18" s="34">
        <v>1000</v>
      </c>
      <c r="F18" s="5">
        <v>97.36</v>
      </c>
      <c r="G18" s="5">
        <f>+F18</f>
        <v>97.36</v>
      </c>
      <c r="H18" s="5">
        <f>C18*D18/E18</f>
        <v>97.358</v>
      </c>
    </row>
    <row r="19" spans="1:8" ht="12.75">
      <c r="A19" t="s">
        <v>18</v>
      </c>
      <c r="C19" s="34">
        <v>0.3</v>
      </c>
      <c r="D19" s="5">
        <v>29</v>
      </c>
      <c r="E19" s="34">
        <v>1</v>
      </c>
      <c r="F19" s="5">
        <v>8.7</v>
      </c>
      <c r="G19" s="5">
        <f>+F19</f>
        <v>8.7</v>
      </c>
      <c r="H19" s="5">
        <f>C19*D19/E19</f>
        <v>8.7</v>
      </c>
    </row>
    <row r="20" spans="1:8" ht="12.75">
      <c r="A20" s="9" t="s">
        <v>19</v>
      </c>
      <c r="C20" s="47">
        <v>1.1</v>
      </c>
      <c r="D20" s="5">
        <v>76.85</v>
      </c>
      <c r="E20" s="34">
        <v>10</v>
      </c>
      <c r="F20" s="5">
        <v>8.45</v>
      </c>
      <c r="G20" s="5">
        <f>+F20</f>
        <v>8.45</v>
      </c>
      <c r="H20" s="5">
        <f>C20*D20/E20</f>
        <v>8.4535</v>
      </c>
    </row>
    <row r="21" spans="2:8" ht="12.75">
      <c r="B21" t="s">
        <v>20</v>
      </c>
      <c r="F21" s="28">
        <f>SUM(F16:F20)</f>
        <v>182.95</v>
      </c>
      <c r="G21" s="6">
        <f>+F21</f>
        <v>182.95</v>
      </c>
      <c r="H21" s="10">
        <f>SUM(H16:H20)</f>
        <v>182.94899999999998</v>
      </c>
    </row>
    <row r="22" spans="1:8" ht="16.5" customHeight="1">
      <c r="A22" s="11" t="s">
        <v>21</v>
      </c>
      <c r="F22" s="15" t="s">
        <v>22</v>
      </c>
      <c r="G22" s="33" t="s">
        <v>23</v>
      </c>
      <c r="H22" s="5"/>
    </row>
    <row r="23" spans="1:8" ht="14.25" customHeight="1">
      <c r="A23" s="9" t="s">
        <v>24</v>
      </c>
      <c r="F23" s="5">
        <v>72.01</v>
      </c>
      <c r="G23" s="5">
        <v>25.15</v>
      </c>
      <c r="H23" s="12">
        <f>+G23</f>
        <v>25.15</v>
      </c>
    </row>
    <row r="24" spans="1:8" ht="12.75">
      <c r="A24" t="s">
        <v>63</v>
      </c>
      <c r="F24" s="5">
        <v>17.37</v>
      </c>
      <c r="G24" s="5">
        <v>6.26</v>
      </c>
      <c r="H24" s="12">
        <f aca="true" t="shared" si="0" ref="H24:H30">+G24</f>
        <v>6.26</v>
      </c>
    </row>
    <row r="25" spans="1:8" ht="12.75">
      <c r="A25" t="s">
        <v>64</v>
      </c>
      <c r="F25" s="5">
        <v>16.92</v>
      </c>
      <c r="G25" s="5">
        <v>5.48</v>
      </c>
      <c r="H25" s="12">
        <f t="shared" si="0"/>
        <v>5.48</v>
      </c>
    </row>
    <row r="26" spans="1:8" ht="12.75">
      <c r="A26" s="9" t="s">
        <v>65</v>
      </c>
      <c r="F26" s="5">
        <v>3.9</v>
      </c>
      <c r="G26" s="5">
        <v>0.73</v>
      </c>
      <c r="H26" s="12">
        <f t="shared" si="0"/>
        <v>0.73</v>
      </c>
    </row>
    <row r="27" spans="1:8" ht="12.75">
      <c r="A27" s="9" t="s">
        <v>103</v>
      </c>
      <c r="F27" s="5">
        <v>27.85</v>
      </c>
      <c r="G27" s="5">
        <v>6.03</v>
      </c>
      <c r="H27" s="12">
        <f t="shared" si="0"/>
        <v>6.03</v>
      </c>
    </row>
    <row r="28" spans="1:8" ht="12.75">
      <c r="A28" s="9" t="s">
        <v>66</v>
      </c>
      <c r="F28" s="5">
        <v>11.79</v>
      </c>
      <c r="G28" s="5">
        <v>2.38</v>
      </c>
      <c r="H28" s="12">
        <f t="shared" si="0"/>
        <v>2.38</v>
      </c>
    </row>
    <row r="29" spans="1:8" ht="12.75">
      <c r="A29" t="s">
        <v>67</v>
      </c>
      <c r="F29" s="5">
        <v>73.79</v>
      </c>
      <c r="G29" s="5">
        <v>19.44</v>
      </c>
      <c r="H29" s="12">
        <f t="shared" si="0"/>
        <v>19.44</v>
      </c>
    </row>
    <row r="30" spans="1:8" ht="12.75">
      <c r="A30" t="s">
        <v>73</v>
      </c>
      <c r="F30" s="5">
        <v>15.16</v>
      </c>
      <c r="G30" s="5">
        <v>4.54</v>
      </c>
      <c r="H30" s="12">
        <f t="shared" si="0"/>
        <v>4.54</v>
      </c>
    </row>
    <row r="31" spans="1:8" ht="15" customHeight="1">
      <c r="A31" t="s">
        <v>26</v>
      </c>
      <c r="F31" s="28">
        <f>SUM(F23:F30)</f>
        <v>238.79</v>
      </c>
      <c r="G31" s="28">
        <f>SUM(G23:G30)</f>
        <v>70.01</v>
      </c>
      <c r="H31" s="13">
        <f>SUM(H23:H30)</f>
        <v>70.01</v>
      </c>
    </row>
    <row r="32" ht="13.5" customHeight="1">
      <c r="A32" s="11" t="s">
        <v>27</v>
      </c>
    </row>
    <row r="33" spans="1:9" ht="12.75">
      <c r="A33" s="9" t="s">
        <v>28</v>
      </c>
      <c r="C33">
        <f>+C10</f>
        <v>3100</v>
      </c>
      <c r="D33" s="5">
        <v>3.89</v>
      </c>
      <c r="E33">
        <v>1000</v>
      </c>
      <c r="F33" s="5">
        <f>C33*I33/E33</f>
        <v>46.345</v>
      </c>
      <c r="G33" s="5">
        <f>+H33</f>
        <v>12.059</v>
      </c>
      <c r="H33" s="5">
        <f>C33*D33/E33</f>
        <v>12.059</v>
      </c>
      <c r="I33" s="34">
        <v>14.95</v>
      </c>
    </row>
    <row r="34" spans="1:9" ht="12.75">
      <c r="A34" t="s">
        <v>71</v>
      </c>
      <c r="C34">
        <f>+C10</f>
        <v>3100</v>
      </c>
      <c r="D34" s="5">
        <v>2.55</v>
      </c>
      <c r="E34">
        <v>1000</v>
      </c>
      <c r="F34" s="5">
        <f>C34*I34/E34</f>
        <v>37.634</v>
      </c>
      <c r="G34" s="5">
        <f>C34*D34/E34</f>
        <v>7.904999999999999</v>
      </c>
      <c r="H34" s="5">
        <f>C34*D34/E34</f>
        <v>7.904999999999999</v>
      </c>
      <c r="I34" s="35">
        <v>12.14</v>
      </c>
    </row>
    <row r="35" spans="2:9" ht="12.75">
      <c r="B35" s="49" t="s">
        <v>74</v>
      </c>
      <c r="C35">
        <f>C10</f>
        <v>3100</v>
      </c>
      <c r="D35" s="5">
        <v>9.5</v>
      </c>
      <c r="E35">
        <v>1000</v>
      </c>
      <c r="F35" s="5">
        <v>29.45</v>
      </c>
      <c r="G35" s="5">
        <f>C35*D35/E35</f>
        <v>29.45</v>
      </c>
      <c r="H35" s="5">
        <f>C35*D35/E35</f>
        <v>29.45</v>
      </c>
      <c r="I35" s="36">
        <v>8</v>
      </c>
    </row>
    <row r="36" spans="1:8" ht="12.75">
      <c r="A36" s="9" t="s">
        <v>30</v>
      </c>
      <c r="F36" s="6">
        <f>SUM(F33:F35)</f>
        <v>113.429</v>
      </c>
      <c r="G36" s="6">
        <f>SUM(G33:G35)</f>
        <v>49.414</v>
      </c>
      <c r="H36" s="6">
        <f>SUM(H33:H35)</f>
        <v>49.414</v>
      </c>
    </row>
    <row r="37" spans="1:10" ht="12.75">
      <c r="A37" s="17" t="s">
        <v>31</v>
      </c>
      <c r="J37" s="23"/>
    </row>
    <row r="38" spans="1:8" ht="12.75" customHeight="1">
      <c r="A38" s="9" t="s">
        <v>93</v>
      </c>
      <c r="C38">
        <f>C10</f>
        <v>3100</v>
      </c>
      <c r="D38" s="5">
        <v>203</v>
      </c>
      <c r="E38" s="44">
        <v>0.0432</v>
      </c>
      <c r="F38" s="5">
        <v>23.11</v>
      </c>
      <c r="G38" s="5">
        <f>+F38</f>
        <v>23.11</v>
      </c>
      <c r="H38" s="5">
        <f>C38/1000*0.85*D38*E38</f>
        <v>23.107896</v>
      </c>
    </row>
    <row r="39" spans="1:8" ht="12.75">
      <c r="A39" t="s">
        <v>106</v>
      </c>
      <c r="D39" s="5"/>
      <c r="F39" s="5">
        <v>142.73</v>
      </c>
      <c r="G39" s="5">
        <f>+F39</f>
        <v>142.73</v>
      </c>
      <c r="H39" s="5">
        <v>142.73</v>
      </c>
    </row>
    <row r="40" spans="1:8" ht="12.75">
      <c r="A40" t="s">
        <v>32</v>
      </c>
      <c r="C40">
        <f>C10</f>
        <v>3100</v>
      </c>
      <c r="D40" s="5">
        <f>0.95+0.45</f>
        <v>1.4</v>
      </c>
      <c r="E40">
        <v>1000</v>
      </c>
      <c r="F40" s="5">
        <v>4.34</v>
      </c>
      <c r="G40" s="5">
        <f>+F40</f>
        <v>4.34</v>
      </c>
      <c r="H40" s="5">
        <f>C10*D40/E40</f>
        <v>4.34</v>
      </c>
    </row>
    <row r="41" spans="1:8" ht="12.75">
      <c r="A41" t="s">
        <v>33</v>
      </c>
      <c r="C41">
        <v>5</v>
      </c>
      <c r="D41" s="5">
        <v>13</v>
      </c>
      <c r="E41">
        <v>1</v>
      </c>
      <c r="F41" s="5">
        <v>0</v>
      </c>
      <c r="G41" s="5">
        <f>+H41</f>
        <v>65</v>
      </c>
      <c r="H41" s="5">
        <f>C41*D41/E41</f>
        <v>65</v>
      </c>
    </row>
    <row r="42" spans="1:8" ht="12.75">
      <c r="A42" s="9" t="s">
        <v>48</v>
      </c>
      <c r="F42" s="5">
        <f>4000*0.03</f>
        <v>120</v>
      </c>
      <c r="G42" s="5">
        <v>0</v>
      </c>
      <c r="H42" s="5">
        <v>0</v>
      </c>
    </row>
    <row r="43" spans="1:8" ht="12.75">
      <c r="A43" s="9" t="s">
        <v>49</v>
      </c>
      <c r="F43" s="5">
        <f>4000*0.925/100</f>
        <v>37</v>
      </c>
      <c r="G43" s="5">
        <f>4000*0.925/100</f>
        <v>37</v>
      </c>
      <c r="H43" s="5">
        <f>4000*0.925/100</f>
        <v>37</v>
      </c>
    </row>
    <row r="44" spans="1:8" ht="12.75">
      <c r="A44" t="s">
        <v>34</v>
      </c>
      <c r="C44" s="20">
        <f>H21+H31+H36+SUM(H38:H43)</f>
        <v>574.550896</v>
      </c>
      <c r="D44" s="44">
        <v>0.075</v>
      </c>
      <c r="E44" s="34">
        <v>9</v>
      </c>
      <c r="F44" s="5">
        <v>32.32</v>
      </c>
      <c r="G44" s="5">
        <f>+F44</f>
        <v>32.32</v>
      </c>
      <c r="H44" s="5">
        <f>C44*D44*E44/12</f>
        <v>32.3184879</v>
      </c>
    </row>
    <row r="45" spans="1:8" ht="12.75">
      <c r="A45" t="s">
        <v>35</v>
      </c>
      <c r="E45" s="34" t="s">
        <v>44</v>
      </c>
      <c r="F45" s="5">
        <f>SUM(F38:F44)</f>
        <v>359.49999999999994</v>
      </c>
      <c r="G45" s="5">
        <f>SUM(G38:G44)</f>
        <v>304.49999999999994</v>
      </c>
      <c r="H45" s="5">
        <f>SUM(H38:H44)</f>
        <v>304.4963839</v>
      </c>
    </row>
    <row r="46" spans="6:8" ht="5.25" customHeight="1">
      <c r="F46" s="5"/>
      <c r="G46" s="5"/>
      <c r="H46" s="5"/>
    </row>
    <row r="47" spans="1:8" ht="13.5" thickBot="1">
      <c r="A47" s="9" t="s">
        <v>36</v>
      </c>
      <c r="F47" s="5">
        <f>F21+F31+F36+F45</f>
        <v>894.6689999999999</v>
      </c>
      <c r="G47" s="5">
        <f>G21+G31+G36+G45</f>
        <v>606.8739999999999</v>
      </c>
      <c r="H47" s="5">
        <f>H21+H31+H36+H45</f>
        <v>606.8693839</v>
      </c>
    </row>
    <row r="48" spans="1:8" ht="15.75" customHeight="1" thickBot="1">
      <c r="A48" s="8" t="s">
        <v>37</v>
      </c>
      <c r="F48" s="19">
        <f>F13-F47</f>
        <v>29.771000000000186</v>
      </c>
      <c r="G48" s="19">
        <f>G13-G47</f>
        <v>317.56600000000014</v>
      </c>
      <c r="H48" s="22">
        <f>H13-H47</f>
        <v>317.57061610000005</v>
      </c>
    </row>
    <row r="49" spans="6:8" ht="5.25" customHeight="1">
      <c r="F49" s="5"/>
      <c r="G49" s="5"/>
      <c r="H49" s="5"/>
    </row>
    <row r="50" spans="1:8" ht="12.75">
      <c r="A50" t="s">
        <v>38</v>
      </c>
      <c r="F50" s="5"/>
      <c r="G50" s="5"/>
      <c r="H50" s="21">
        <f>H47/(C10/1000)</f>
        <v>195.76431738709678</v>
      </c>
    </row>
    <row r="51" spans="6:8" ht="12.75">
      <c r="F51" s="5"/>
      <c r="G51" s="5"/>
      <c r="H51" s="21"/>
    </row>
    <row r="52" spans="6:8" ht="12.75">
      <c r="F52" s="5"/>
      <c r="G52" s="5"/>
      <c r="H52" s="21"/>
    </row>
    <row r="53" spans="6:8" ht="12.75">
      <c r="F53" s="5"/>
      <c r="G53" s="5"/>
      <c r="H53" s="21"/>
    </row>
    <row r="54" spans="1:8" ht="15.75">
      <c r="A54" s="77" t="s">
        <v>105</v>
      </c>
      <c r="B54" s="77"/>
      <c r="C54" s="77"/>
      <c r="D54" s="77"/>
      <c r="E54" s="77"/>
      <c r="F54" s="77"/>
      <c r="G54" s="77"/>
      <c r="H54" s="77"/>
    </row>
    <row r="55" spans="6:8" ht="7.5" customHeight="1">
      <c r="F55" s="5"/>
      <c r="G55" s="5"/>
      <c r="H55" s="5"/>
    </row>
    <row r="56" spans="4:8" ht="15.75">
      <c r="D56" s="50" t="s">
        <v>81</v>
      </c>
      <c r="F56" s="5"/>
      <c r="G56" s="5"/>
      <c r="H56" s="5"/>
    </row>
    <row r="57" spans="4:8" ht="15.75">
      <c r="D57" s="50"/>
      <c r="F57" s="5"/>
      <c r="G57" s="5"/>
      <c r="H57" s="57" t="s">
        <v>90</v>
      </c>
    </row>
    <row r="58" spans="6:8" ht="12.75">
      <c r="F58" s="15" t="s">
        <v>22</v>
      </c>
      <c r="G58" s="33" t="s">
        <v>23</v>
      </c>
      <c r="H58" s="5"/>
    </row>
    <row r="59" spans="1:8" ht="17.25" customHeight="1">
      <c r="A59" t="s">
        <v>88</v>
      </c>
      <c r="F59" s="5">
        <f>+F47</f>
        <v>894.6689999999999</v>
      </c>
      <c r="G59" s="5">
        <f>+H47</f>
        <v>606.8693839</v>
      </c>
      <c r="H59" s="46" t="s">
        <v>86</v>
      </c>
    </row>
    <row r="60" spans="6:8" ht="12.75">
      <c r="F60" s="5"/>
      <c r="G60" s="5"/>
      <c r="H60" s="5"/>
    </row>
    <row r="61" spans="1:8" ht="12.75">
      <c r="A61" t="s">
        <v>50</v>
      </c>
      <c r="F61" s="5"/>
      <c r="G61" s="5"/>
      <c r="H61" s="5"/>
    </row>
    <row r="62" spans="1:8" ht="12.75">
      <c r="A62" t="s">
        <v>51</v>
      </c>
      <c r="F62" s="5">
        <f>+F11</f>
        <v>421.34</v>
      </c>
      <c r="G62" s="5">
        <f>+H11</f>
        <v>421.34</v>
      </c>
      <c r="H62" s="46" t="s">
        <v>86</v>
      </c>
    </row>
    <row r="63" spans="1:8" ht="12.75">
      <c r="A63" t="s">
        <v>52</v>
      </c>
      <c r="F63" s="5">
        <f>+F12</f>
        <v>112.5</v>
      </c>
      <c r="G63" s="5">
        <f>+H12</f>
        <v>112.5</v>
      </c>
      <c r="H63" s="46" t="s">
        <v>86</v>
      </c>
    </row>
    <row r="64" spans="6:8" ht="9" customHeight="1">
      <c r="F64" s="41" t="s">
        <v>53</v>
      </c>
      <c r="G64" s="41" t="s">
        <v>53</v>
      </c>
      <c r="H64" s="46" t="s">
        <v>86</v>
      </c>
    </row>
    <row r="65" spans="1:8" ht="12.75">
      <c r="A65" t="s">
        <v>54</v>
      </c>
      <c r="F65" s="5">
        <f>F62+F63</f>
        <v>533.8399999999999</v>
      </c>
      <c r="G65" s="5">
        <f>G62+G63</f>
        <v>533.8399999999999</v>
      </c>
      <c r="H65" s="46" t="s">
        <v>86</v>
      </c>
    </row>
    <row r="66" spans="6:8" ht="12.75">
      <c r="F66" s="5"/>
      <c r="G66" s="5"/>
      <c r="H66" s="5"/>
    </row>
    <row r="68" spans="6:8" ht="12.75">
      <c r="F68" s="5"/>
      <c r="G68" s="5"/>
      <c r="H68" s="42"/>
    </row>
    <row r="69" spans="1:8" ht="12.75">
      <c r="A69" t="s">
        <v>84</v>
      </c>
      <c r="F69" s="5">
        <f>F59-F65</f>
        <v>360.82899999999995</v>
      </c>
      <c r="G69" s="7">
        <f>G59-G65</f>
        <v>73.02938390000008</v>
      </c>
      <c r="H69" s="46" t="s">
        <v>86</v>
      </c>
    </row>
    <row r="70" spans="6:8" ht="12.75">
      <c r="F70" s="5"/>
      <c r="G70" s="42"/>
      <c r="H70" s="46"/>
    </row>
    <row r="71" spans="1:8" ht="12.75">
      <c r="A71" t="s">
        <v>55</v>
      </c>
      <c r="F71" s="42">
        <f>C10/1000</f>
        <v>3.1</v>
      </c>
      <c r="G71" s="43">
        <f>+C10/1000</f>
        <v>3.1</v>
      </c>
      <c r="H71" s="46" t="s">
        <v>86</v>
      </c>
    </row>
    <row r="72" spans="6:8" ht="12.75">
      <c r="F72" s="5"/>
      <c r="G72" s="42"/>
      <c r="H72" s="46"/>
    </row>
    <row r="73" spans="1:8" ht="14.25">
      <c r="A73" t="s">
        <v>57</v>
      </c>
      <c r="F73" s="5">
        <f>F69/F71</f>
        <v>116.3964516129032</v>
      </c>
      <c r="G73" s="52">
        <f>G69/G71</f>
        <v>23.557865774193576</v>
      </c>
      <c r="H73" s="46" t="s">
        <v>86</v>
      </c>
    </row>
    <row r="74" ht="13.5" thickBot="1"/>
    <row r="75" spans="1:7" ht="16.5" thickBot="1" thickTop="1">
      <c r="A75" s="53" t="s">
        <v>95</v>
      </c>
      <c r="G75" s="54">
        <f>(F73+G73)/2</f>
        <v>69.97715869354839</v>
      </c>
    </row>
    <row r="76" ht="13.5" thickTop="1"/>
    <row r="79" spans="1:7" ht="12.75">
      <c r="A79" t="s">
        <v>87</v>
      </c>
      <c r="B79" s="55">
        <f>+H3</f>
        <v>39120</v>
      </c>
      <c r="G79" t="s">
        <v>56</v>
      </c>
    </row>
    <row r="80" spans="6:8" ht="12.75">
      <c r="F80" s="5"/>
      <c r="G80" s="5"/>
      <c r="H80" s="5"/>
    </row>
    <row r="81" spans="6:8" ht="12.75">
      <c r="F81" s="5"/>
      <c r="G81" s="5"/>
      <c r="H81" s="5"/>
    </row>
    <row r="82" spans="6:8" ht="12.75">
      <c r="F82" s="5"/>
      <c r="G82" s="5"/>
      <c r="H82" s="5"/>
    </row>
    <row r="83" spans="6:8" ht="12.75">
      <c r="F83" s="5"/>
      <c r="G83" s="5"/>
      <c r="H83" s="5"/>
    </row>
    <row r="84" spans="6:8" ht="12.75">
      <c r="F84" s="5"/>
      <c r="G84" s="5"/>
      <c r="H84" s="5"/>
    </row>
    <row r="85" spans="6:8" ht="12.75">
      <c r="F85" s="5"/>
      <c r="G85" s="5"/>
      <c r="H85" s="5"/>
    </row>
    <row r="86" spans="6:8" ht="12.75">
      <c r="F86" s="5"/>
      <c r="G86" s="5"/>
      <c r="H86" s="5"/>
    </row>
    <row r="87" spans="6:8" ht="12.75">
      <c r="F87" s="5"/>
      <c r="G87" s="5"/>
      <c r="H87" s="5"/>
    </row>
    <row r="88" spans="6:8" ht="12.75">
      <c r="F88" s="5"/>
      <c r="G88" s="5"/>
      <c r="H88" s="5"/>
    </row>
    <row r="89" spans="6:8" ht="12.75">
      <c r="F89" s="5"/>
      <c r="G89" s="5"/>
      <c r="H89" s="5"/>
    </row>
    <row r="90" spans="6:8" ht="12.75">
      <c r="F90" s="5"/>
      <c r="G90" s="5"/>
      <c r="H90" s="5"/>
    </row>
    <row r="91" spans="6:8" ht="12.75">
      <c r="F91" s="5"/>
      <c r="G91" s="5"/>
      <c r="H91" s="5"/>
    </row>
    <row r="92" spans="6:8" ht="12.75">
      <c r="F92" s="5"/>
      <c r="G92" s="5"/>
      <c r="H92" s="5"/>
    </row>
    <row r="93" spans="6:8" ht="12.75">
      <c r="F93" s="5"/>
      <c r="G93" s="5"/>
      <c r="H93" s="5"/>
    </row>
    <row r="94" spans="6:8" ht="12.75">
      <c r="F94" s="5"/>
      <c r="G94" s="5"/>
      <c r="H94" s="5"/>
    </row>
    <row r="95" spans="6:8" ht="12.75">
      <c r="F95" s="5"/>
      <c r="G95" s="5"/>
      <c r="H95" s="5"/>
    </row>
    <row r="96" spans="6:8" ht="12.75">
      <c r="F96" s="5"/>
      <c r="G96" s="5"/>
      <c r="H96" s="5"/>
    </row>
    <row r="97" spans="6:8" ht="12.75">
      <c r="F97" s="5"/>
      <c r="G97" s="5"/>
      <c r="H97" s="5"/>
    </row>
    <row r="98" spans="6:8" ht="12.75">
      <c r="F98" s="5"/>
      <c r="G98" s="5"/>
      <c r="H98" s="5"/>
    </row>
    <row r="99" spans="6:8" ht="12.75">
      <c r="F99" s="5"/>
      <c r="G99" s="5"/>
      <c r="H99" s="5"/>
    </row>
    <row r="100" spans="6:8" ht="12.75">
      <c r="F100" s="5"/>
      <c r="G100" s="5"/>
      <c r="H100" s="5"/>
    </row>
    <row r="101" spans="6:8" ht="12.75">
      <c r="F101" s="5"/>
      <c r="G101" s="5"/>
      <c r="H101" s="5"/>
    </row>
    <row r="102" spans="6:8" ht="12.75">
      <c r="F102" s="5"/>
      <c r="G102" s="5"/>
      <c r="H102" s="5"/>
    </row>
    <row r="103" spans="6:8" ht="12.75">
      <c r="F103" s="5"/>
      <c r="G103" s="5"/>
      <c r="H103" s="5"/>
    </row>
    <row r="104" spans="6:8" ht="12.75">
      <c r="F104" s="5"/>
      <c r="G104" s="5"/>
      <c r="H104" s="5"/>
    </row>
    <row r="105" spans="6:8" ht="12.75">
      <c r="F105" s="5"/>
      <c r="G105" s="5"/>
      <c r="H105" s="5"/>
    </row>
    <row r="106" spans="6:8" ht="12.75">
      <c r="F106" s="5"/>
      <c r="G106" s="5"/>
      <c r="H106" s="5"/>
    </row>
    <row r="107" spans="6:8" ht="12.75">
      <c r="F107" s="5"/>
      <c r="G107" s="5"/>
      <c r="H107" s="5"/>
    </row>
    <row r="108" spans="6:8" ht="12.75">
      <c r="F108" s="5"/>
      <c r="G108" s="5"/>
      <c r="H108" s="5"/>
    </row>
    <row r="109" spans="6:8" ht="12.75">
      <c r="F109" s="5"/>
      <c r="G109" s="5"/>
      <c r="H109" s="5"/>
    </row>
    <row r="110" spans="6:8" ht="12.75">
      <c r="F110" s="5"/>
      <c r="G110" s="5"/>
      <c r="H110" s="5"/>
    </row>
    <row r="111" spans="6:8" ht="12.75">
      <c r="F111" s="5"/>
      <c r="G111" s="5"/>
      <c r="H111" s="5"/>
    </row>
    <row r="112" spans="6:8" ht="12.75">
      <c r="F112" s="5"/>
      <c r="G112" s="5"/>
      <c r="H112" s="5"/>
    </row>
    <row r="113" spans="6:8" ht="12.75">
      <c r="F113" s="5"/>
      <c r="G113" s="5"/>
      <c r="H113" s="5"/>
    </row>
    <row r="114" spans="6:8" ht="12.75">
      <c r="F114" s="5"/>
      <c r="G114" s="5"/>
      <c r="H114" s="5"/>
    </row>
    <row r="115" spans="6:8" ht="12.75">
      <c r="F115" s="5"/>
      <c r="G115" s="5"/>
      <c r="H115" s="5"/>
    </row>
    <row r="116" spans="6:8" ht="12.75">
      <c r="F116" s="5"/>
      <c r="G116" s="5"/>
      <c r="H116" s="5"/>
    </row>
    <row r="117" spans="6:8" ht="12.75">
      <c r="F117" s="5"/>
      <c r="G117" s="5"/>
      <c r="H117" s="5"/>
    </row>
    <row r="118" spans="6:8" ht="12.75">
      <c r="F118" s="5"/>
      <c r="G118" s="5"/>
      <c r="H118" s="5"/>
    </row>
    <row r="119" spans="6:8" ht="12.75">
      <c r="F119" s="5"/>
      <c r="G119" s="5"/>
      <c r="H119" s="5"/>
    </row>
    <row r="120" spans="6:8" ht="12.75">
      <c r="F120" s="5"/>
      <c r="G120" s="5"/>
      <c r="H120" s="5"/>
    </row>
    <row r="121" spans="6:8" ht="12.75">
      <c r="F121" s="5"/>
      <c r="G121" s="5"/>
      <c r="H121" s="5"/>
    </row>
    <row r="122" spans="6:8" ht="12.75">
      <c r="F122" s="5"/>
      <c r="G122" s="5"/>
      <c r="H122" s="5"/>
    </row>
    <row r="123" spans="6:8" ht="12.75">
      <c r="F123" s="5"/>
      <c r="G123" s="5"/>
      <c r="H123" s="5"/>
    </row>
    <row r="124" spans="6:8" ht="12.75">
      <c r="F124" s="5"/>
      <c r="G124" s="5"/>
      <c r="H124" s="5"/>
    </row>
    <row r="125" spans="6:8" ht="12.75">
      <c r="F125" s="5"/>
      <c r="G125" s="5"/>
      <c r="H125" s="5"/>
    </row>
    <row r="126" spans="6:8" ht="12.75">
      <c r="F126" s="5"/>
      <c r="G126" s="5"/>
      <c r="H126" s="5"/>
    </row>
    <row r="127" spans="6:8" ht="12.75">
      <c r="F127" s="5"/>
      <c r="G127" s="5"/>
      <c r="H127" s="5"/>
    </row>
    <row r="128" spans="6:8" ht="12.75">
      <c r="F128" s="5"/>
      <c r="G128" s="5"/>
      <c r="H128" s="5"/>
    </row>
    <row r="129" spans="6:8" ht="12.75">
      <c r="F129" s="5"/>
      <c r="G129" s="5"/>
      <c r="H129" s="5"/>
    </row>
    <row r="130" spans="6:8" ht="12.75">
      <c r="F130" s="5"/>
      <c r="G130" s="5"/>
      <c r="H130" s="5"/>
    </row>
    <row r="131" spans="6:8" ht="12.75">
      <c r="F131" s="5"/>
      <c r="G131" s="5"/>
      <c r="H131" s="5"/>
    </row>
    <row r="132" spans="6:8" ht="12.75">
      <c r="F132" s="5"/>
      <c r="G132" s="5"/>
      <c r="H132" s="5"/>
    </row>
    <row r="133" spans="6:8" ht="12.75">
      <c r="F133" s="5"/>
      <c r="G133" s="5"/>
      <c r="H133" s="5"/>
    </row>
    <row r="134" spans="6:8" ht="12.75">
      <c r="F134" s="5"/>
      <c r="G134" s="5"/>
      <c r="H134" s="5"/>
    </row>
    <row r="135" spans="6:8" ht="12.75">
      <c r="F135" s="5"/>
      <c r="G135" s="5"/>
      <c r="H135" s="5"/>
    </row>
    <row r="136" spans="6:8" ht="12.75">
      <c r="F136" s="5"/>
      <c r="G136" s="5"/>
      <c r="H136" s="5"/>
    </row>
    <row r="137" spans="6:8" ht="12.75">
      <c r="F137" s="5"/>
      <c r="G137" s="5"/>
      <c r="H137" s="5"/>
    </row>
    <row r="138" spans="6:8" ht="12.75">
      <c r="F138" s="5"/>
      <c r="G138" s="5"/>
      <c r="H138" s="5"/>
    </row>
    <row r="139" spans="6:8" ht="12.75">
      <c r="F139" s="5"/>
      <c r="G139" s="5"/>
      <c r="H139" s="5"/>
    </row>
    <row r="140" spans="6:8" ht="12.75">
      <c r="F140" s="5"/>
      <c r="G140" s="5"/>
      <c r="H140" s="5"/>
    </row>
    <row r="141" spans="6:8" ht="12.75">
      <c r="F141" s="5"/>
      <c r="G141" s="5"/>
      <c r="H141" s="5"/>
    </row>
    <row r="142" spans="6:8" ht="12.75">
      <c r="F142" s="5"/>
      <c r="G142" s="5"/>
      <c r="H142" s="5"/>
    </row>
    <row r="143" spans="6:8" ht="12.75">
      <c r="F143" s="5"/>
      <c r="G143" s="5"/>
      <c r="H143" s="5"/>
    </row>
    <row r="144" spans="6:8" ht="12.75">
      <c r="F144" s="5"/>
      <c r="G144" s="5"/>
      <c r="H144" s="5"/>
    </row>
    <row r="145" spans="6:8" ht="12.75">
      <c r="F145" s="5"/>
      <c r="G145" s="5"/>
      <c r="H145" s="5"/>
    </row>
    <row r="146" spans="6:8" ht="12.75">
      <c r="F146" s="5"/>
      <c r="G146" s="5"/>
      <c r="H146" s="5"/>
    </row>
    <row r="147" spans="6:8" ht="12.75">
      <c r="F147" s="5"/>
      <c r="G147" s="5"/>
      <c r="H147" s="5"/>
    </row>
    <row r="148" spans="6:8" ht="12.75">
      <c r="F148" s="5"/>
      <c r="G148" s="5"/>
      <c r="H148" s="5"/>
    </row>
    <row r="149" spans="6:8" ht="12.75">
      <c r="F149" s="5"/>
      <c r="G149" s="5"/>
      <c r="H149" s="5"/>
    </row>
    <row r="150" spans="6:8" ht="12.75">
      <c r="F150" s="5"/>
      <c r="G150" s="5"/>
      <c r="H150" s="5"/>
    </row>
    <row r="151" spans="6:8" ht="12.75">
      <c r="F151" s="5"/>
      <c r="G151" s="5"/>
      <c r="H151" s="5"/>
    </row>
    <row r="152" spans="6:8" ht="12.75">
      <c r="F152" s="5"/>
      <c r="G152" s="5"/>
      <c r="H152" s="5"/>
    </row>
    <row r="153" spans="6:8" ht="12.75">
      <c r="F153" s="5"/>
      <c r="G153" s="5"/>
      <c r="H153" s="5"/>
    </row>
    <row r="154" spans="6:8" ht="12.75">
      <c r="F154" s="5"/>
      <c r="G154" s="5"/>
      <c r="H154" s="5"/>
    </row>
    <row r="155" spans="6:8" ht="12.75">
      <c r="F155" s="5"/>
      <c r="G155" s="5"/>
      <c r="H155" s="5"/>
    </row>
    <row r="156" spans="6:8" ht="12.75">
      <c r="F156" s="5"/>
      <c r="G156" s="5"/>
      <c r="H156" s="5"/>
    </row>
    <row r="157" spans="6:8" ht="12.75">
      <c r="F157" s="5"/>
      <c r="G157" s="5"/>
      <c r="H157" s="5"/>
    </row>
    <row r="158" spans="6:8" ht="12.75">
      <c r="F158" s="5"/>
      <c r="G158" s="5"/>
      <c r="H158" s="5"/>
    </row>
    <row r="159" spans="6:8" ht="12.75">
      <c r="F159" s="5"/>
      <c r="G159" s="5"/>
      <c r="H159" s="5"/>
    </row>
    <row r="160" spans="6:8" ht="12.75">
      <c r="F160" s="5"/>
      <c r="G160" s="5"/>
      <c r="H160" s="5"/>
    </row>
    <row r="161" spans="6:8" ht="12.75">
      <c r="F161" s="5"/>
      <c r="G161" s="5"/>
      <c r="H161" s="5"/>
    </row>
    <row r="162" spans="6:8" ht="12.75">
      <c r="F162" s="5"/>
      <c r="G162" s="5"/>
      <c r="H162" s="5"/>
    </row>
    <row r="163" spans="6:8" ht="12.75">
      <c r="F163" s="5"/>
      <c r="G163" s="5"/>
      <c r="H163" s="5"/>
    </row>
    <row r="164" spans="6:8" ht="12.75">
      <c r="F164" s="5"/>
      <c r="G164" s="5"/>
      <c r="H164" s="5"/>
    </row>
  </sheetData>
  <mergeCells count="1">
    <mergeCell ref="A54:H54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r:id="rId1"/>
  <headerFooter alignWithMargins="0">
    <oddFooter>&amp;LMAPAQ, Centre du Québec&amp;C4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8"/>
  <sheetViews>
    <sheetView workbookViewId="0" topLeftCell="A1">
      <selection activeCell="A1" sqref="A1"/>
    </sheetView>
  </sheetViews>
  <sheetFormatPr defaultColWidth="11.421875" defaultRowHeight="12.75"/>
  <cols>
    <col min="3" max="3" width="12.00390625" style="0" customWidth="1"/>
  </cols>
  <sheetData>
    <row r="1" spans="2:7" ht="15.75">
      <c r="B1" s="24" t="s">
        <v>101</v>
      </c>
      <c r="E1" s="2"/>
      <c r="F1" s="2"/>
      <c r="G1" s="2"/>
    </row>
    <row r="3" spans="2:8" ht="12.75">
      <c r="B3" s="8" t="s">
        <v>0</v>
      </c>
      <c r="H3" s="29">
        <v>39120</v>
      </c>
    </row>
    <row r="4" ht="12.75">
      <c r="B4" s="9" t="s">
        <v>1</v>
      </c>
    </row>
    <row r="5" ht="12.75">
      <c r="B5" s="14" t="s">
        <v>77</v>
      </c>
    </row>
    <row r="7" spans="1:8" ht="12.75">
      <c r="A7" s="15" t="s">
        <v>2</v>
      </c>
      <c r="B7" s="1"/>
      <c r="C7" s="15" t="s">
        <v>3</v>
      </c>
      <c r="D7" s="15" t="s">
        <v>4</v>
      </c>
      <c r="E7" s="15" t="s">
        <v>5</v>
      </c>
      <c r="F7" s="4" t="s">
        <v>6</v>
      </c>
      <c r="G7" s="15" t="s">
        <v>7</v>
      </c>
      <c r="H7" s="3" t="s">
        <v>8</v>
      </c>
    </row>
    <row r="8" spans="3:8" ht="12.75">
      <c r="C8" s="1"/>
      <c r="D8" s="1"/>
      <c r="E8" s="1"/>
      <c r="F8" s="15" t="s">
        <v>9</v>
      </c>
      <c r="G8" s="1"/>
      <c r="H8" s="16" t="s">
        <v>10</v>
      </c>
    </row>
    <row r="9" spans="1:8" ht="12.75">
      <c r="A9" s="8" t="s">
        <v>11</v>
      </c>
      <c r="C9" s="27"/>
      <c r="D9" s="1"/>
      <c r="E9" s="1"/>
      <c r="F9" s="3"/>
      <c r="G9" s="1"/>
      <c r="H9" s="4"/>
    </row>
    <row r="10" spans="1:8" ht="12.75">
      <c r="A10" s="18" t="s">
        <v>12</v>
      </c>
      <c r="B10" s="1"/>
      <c r="C10" s="39">
        <v>2250</v>
      </c>
      <c r="D10" s="5">
        <v>126</v>
      </c>
      <c r="E10" s="34">
        <v>1000</v>
      </c>
      <c r="F10" s="5">
        <v>283.5</v>
      </c>
      <c r="G10" s="5">
        <f>+F10</f>
        <v>283.5</v>
      </c>
      <c r="H10" s="7">
        <f>C10*D10/E10</f>
        <v>283.5</v>
      </c>
    </row>
    <row r="11" spans="1:8" ht="12.75">
      <c r="A11" s="30" t="s">
        <v>108</v>
      </c>
      <c r="B11" s="1"/>
      <c r="C11" s="40">
        <v>3200</v>
      </c>
      <c r="D11" s="5">
        <v>131.67</v>
      </c>
      <c r="E11" s="34">
        <v>1000</v>
      </c>
      <c r="F11" s="5">
        <v>421.34</v>
      </c>
      <c r="G11" s="5">
        <f>+F11</f>
        <v>421.34</v>
      </c>
      <c r="H11" s="7">
        <v>421.34</v>
      </c>
    </row>
    <row r="12" spans="1:8" ht="12.75">
      <c r="A12" s="26" t="s">
        <v>45</v>
      </c>
      <c r="B12" s="1"/>
      <c r="C12" s="40">
        <v>74</v>
      </c>
      <c r="D12" s="5">
        <v>0.9</v>
      </c>
      <c r="E12" s="34">
        <v>1</v>
      </c>
      <c r="F12" s="5">
        <v>66.6</v>
      </c>
      <c r="G12" s="5">
        <f>+F12</f>
        <v>66.6</v>
      </c>
      <c r="H12" s="7">
        <f>C12*D12/E12</f>
        <v>66.60000000000001</v>
      </c>
    </row>
    <row r="13" spans="1:8" ht="12.75">
      <c r="A13" s="26" t="s">
        <v>13</v>
      </c>
      <c r="B13" s="1"/>
      <c r="C13" s="25"/>
      <c r="D13" s="5">
        <f>D10+D11</f>
        <v>257.66999999999996</v>
      </c>
      <c r="F13" s="7">
        <f>SUM(F10:F12)</f>
        <v>771.4399999999999</v>
      </c>
      <c r="G13" s="7">
        <f>SUM(G10:G12)</f>
        <v>771.4399999999999</v>
      </c>
      <c r="H13" s="7">
        <f>SUM(H10:H12)</f>
        <v>771.4399999999999</v>
      </c>
    </row>
    <row r="14" spans="1:8" ht="12.75">
      <c r="A14" s="8" t="s">
        <v>14</v>
      </c>
      <c r="C14" s="37"/>
      <c r="F14" s="5"/>
      <c r="G14" s="5"/>
      <c r="H14" s="5"/>
    </row>
    <row r="15" spans="1:7" ht="12.75">
      <c r="A15" s="11" t="s">
        <v>15</v>
      </c>
      <c r="F15" s="5"/>
      <c r="G15" s="5"/>
    </row>
    <row r="16" spans="1:8" ht="12.75">
      <c r="A16" s="30" t="s">
        <v>16</v>
      </c>
      <c r="C16" s="34">
        <v>84</v>
      </c>
      <c r="D16" s="5">
        <v>22.33</v>
      </c>
      <c r="E16" s="34">
        <v>40</v>
      </c>
      <c r="F16" s="5">
        <v>46.89</v>
      </c>
      <c r="G16" s="5">
        <f>+F16</f>
        <v>46.89</v>
      </c>
      <c r="H16" s="5">
        <f>C16*D16/E16</f>
        <v>46.892999999999994</v>
      </c>
    </row>
    <row r="17" spans="1:8" ht="12.75">
      <c r="A17" s="9" t="s">
        <v>39</v>
      </c>
      <c r="D17" s="5"/>
      <c r="F17" s="5"/>
      <c r="G17" s="5"/>
      <c r="H17" s="5"/>
    </row>
    <row r="18" spans="1:8" ht="12.75">
      <c r="A18" s="9" t="s">
        <v>40</v>
      </c>
      <c r="D18" s="5"/>
      <c r="F18" s="5">
        <v>108.14</v>
      </c>
      <c r="G18" s="5">
        <f>+F18</f>
        <v>108.14</v>
      </c>
      <c r="H18" s="5">
        <v>108.14</v>
      </c>
    </row>
    <row r="19" spans="1:8" ht="12.75">
      <c r="A19" t="s">
        <v>18</v>
      </c>
      <c r="C19">
        <v>0.1</v>
      </c>
      <c r="D19" s="5">
        <v>29</v>
      </c>
      <c r="E19" s="34">
        <v>1</v>
      </c>
      <c r="F19" s="5">
        <v>2.9</v>
      </c>
      <c r="G19" s="5">
        <f>+F19</f>
        <v>2.9</v>
      </c>
      <c r="H19" s="5">
        <f>C19*D19/E19</f>
        <v>2.9000000000000004</v>
      </c>
    </row>
    <row r="20" spans="1:8" ht="12.75">
      <c r="A20" s="9" t="s">
        <v>41</v>
      </c>
      <c r="C20" s="25"/>
      <c r="D20" s="5"/>
      <c r="F20" s="5"/>
      <c r="G20" s="5"/>
      <c r="H20" s="5"/>
    </row>
    <row r="21" spans="1:8" ht="12.75">
      <c r="A21" s="32" t="s">
        <v>42</v>
      </c>
      <c r="C21" s="25"/>
      <c r="D21" s="5"/>
      <c r="F21" s="5">
        <f>31.73/5</f>
        <v>6.346</v>
      </c>
      <c r="G21" s="5">
        <f>+F21</f>
        <v>6.346</v>
      </c>
      <c r="H21" s="5">
        <v>6.35</v>
      </c>
    </row>
    <row r="22" spans="2:8" ht="12.75">
      <c r="B22" t="s">
        <v>20</v>
      </c>
      <c r="F22" s="10">
        <f>SUM(F16:F21)</f>
        <v>164.276</v>
      </c>
      <c r="G22" s="6">
        <f>+F22</f>
        <v>164.276</v>
      </c>
      <c r="H22" s="10">
        <f>SUM(H16:H21)</f>
        <v>164.283</v>
      </c>
    </row>
    <row r="23" spans="1:9" ht="12.75">
      <c r="A23" s="11" t="s">
        <v>21</v>
      </c>
      <c r="F23" s="15" t="s">
        <v>22</v>
      </c>
      <c r="G23" s="33" t="s">
        <v>23</v>
      </c>
      <c r="H23" s="5"/>
      <c r="I23" s="34">
        <v>5</v>
      </c>
    </row>
    <row r="24" spans="1:10" ht="12.75">
      <c r="A24" s="9" t="s">
        <v>24</v>
      </c>
      <c r="C24" s="46" t="s">
        <v>59</v>
      </c>
      <c r="F24" s="48">
        <f aca="true" t="shared" si="0" ref="F24:G26">I24/$I$23</f>
        <v>14.402000000000001</v>
      </c>
      <c r="G24" s="48">
        <f t="shared" si="0"/>
        <v>5.029999999999999</v>
      </c>
      <c r="H24" s="12">
        <f>+G24</f>
        <v>5.029999999999999</v>
      </c>
      <c r="I24" s="5">
        <v>72.01</v>
      </c>
      <c r="J24" s="5">
        <v>25.15</v>
      </c>
    </row>
    <row r="25" spans="1:10" ht="12.75">
      <c r="A25" t="s">
        <v>63</v>
      </c>
      <c r="C25" s="46" t="s">
        <v>59</v>
      </c>
      <c r="F25" s="48">
        <f t="shared" si="0"/>
        <v>3.474</v>
      </c>
      <c r="G25" s="48">
        <f t="shared" si="0"/>
        <v>1.252</v>
      </c>
      <c r="H25" s="12">
        <f aca="true" t="shared" si="1" ref="H25:H31">+G25</f>
        <v>1.252</v>
      </c>
      <c r="I25" s="5">
        <v>17.37</v>
      </c>
      <c r="J25" s="5">
        <v>6.26</v>
      </c>
    </row>
    <row r="26" spans="1:10" ht="12.75">
      <c r="A26" t="s">
        <v>64</v>
      </c>
      <c r="C26" s="46" t="s">
        <v>59</v>
      </c>
      <c r="F26" s="48">
        <f t="shared" si="0"/>
        <v>3.3840000000000003</v>
      </c>
      <c r="G26" s="48">
        <f t="shared" si="0"/>
        <v>1.096</v>
      </c>
      <c r="H26" s="12">
        <f t="shared" si="1"/>
        <v>1.096</v>
      </c>
      <c r="I26" s="5">
        <v>16.92</v>
      </c>
      <c r="J26" s="5">
        <v>5.48</v>
      </c>
    </row>
    <row r="27" spans="1:10" ht="12.75">
      <c r="A27" s="9" t="s">
        <v>65</v>
      </c>
      <c r="F27" s="35">
        <f>+I27</f>
        <v>3.9</v>
      </c>
      <c r="G27" s="35">
        <f>+J27</f>
        <v>0.73</v>
      </c>
      <c r="H27" s="12">
        <f t="shared" si="1"/>
        <v>0.73</v>
      </c>
      <c r="I27" s="5">
        <v>3.9</v>
      </c>
      <c r="J27" s="5">
        <v>0.73</v>
      </c>
    </row>
    <row r="28" spans="1:10" ht="12.75">
      <c r="A28" s="9" t="s">
        <v>25</v>
      </c>
      <c r="C28" s="46" t="s">
        <v>59</v>
      </c>
      <c r="F28" s="48">
        <f>I28/$I$23</f>
        <v>5.57</v>
      </c>
      <c r="G28" s="48">
        <f>J28/$I$23</f>
        <v>1.206</v>
      </c>
      <c r="H28" s="12">
        <f t="shared" si="1"/>
        <v>1.206</v>
      </c>
      <c r="I28" s="5">
        <v>27.85</v>
      </c>
      <c r="J28" s="5">
        <v>6.03</v>
      </c>
    </row>
    <row r="29" spans="1:10" ht="12.75">
      <c r="A29" s="9" t="s">
        <v>66</v>
      </c>
      <c r="C29" s="46" t="s">
        <v>59</v>
      </c>
      <c r="F29" s="48">
        <f>I29/$I$23</f>
        <v>2.3579999999999997</v>
      </c>
      <c r="G29" s="48">
        <f>J29/$I$23</f>
        <v>0.476</v>
      </c>
      <c r="H29" s="12">
        <f t="shared" si="1"/>
        <v>0.476</v>
      </c>
      <c r="I29" s="5">
        <v>11.79</v>
      </c>
      <c r="J29" s="5">
        <v>2.38</v>
      </c>
    </row>
    <row r="30" spans="1:10" ht="12.75">
      <c r="A30" t="s">
        <v>67</v>
      </c>
      <c r="F30" s="56">
        <f>+I30</f>
        <v>73.79</v>
      </c>
      <c r="G30" s="56">
        <f>+J30</f>
        <v>19.44</v>
      </c>
      <c r="H30" s="12">
        <f t="shared" si="1"/>
        <v>19.44</v>
      </c>
      <c r="I30" s="5">
        <v>73.79</v>
      </c>
      <c r="J30" s="5">
        <v>19.44</v>
      </c>
    </row>
    <row r="31" spans="1:10" ht="12.75">
      <c r="A31" t="s">
        <v>68</v>
      </c>
      <c r="F31" s="56">
        <f>+I31</f>
        <v>15.16</v>
      </c>
      <c r="G31" s="56">
        <f>+J31</f>
        <v>4.54</v>
      </c>
      <c r="H31" s="12">
        <f t="shared" si="1"/>
        <v>4.54</v>
      </c>
      <c r="I31" s="5">
        <v>15.16</v>
      </c>
      <c r="J31" s="5">
        <v>4.54</v>
      </c>
    </row>
    <row r="32" spans="1:8" ht="12.75">
      <c r="A32" t="s">
        <v>26</v>
      </c>
      <c r="C32" t="s">
        <v>20</v>
      </c>
      <c r="F32" s="13">
        <f>SUM(F24:F31)</f>
        <v>122.03800000000001</v>
      </c>
      <c r="G32" s="13">
        <f>SUM(G24:G31)</f>
        <v>33.77</v>
      </c>
      <c r="H32" s="13">
        <f>SUM(H24:H31)</f>
        <v>33.77</v>
      </c>
    </row>
    <row r="33" ht="12.75">
      <c r="A33" s="11" t="s">
        <v>27</v>
      </c>
    </row>
    <row r="34" spans="1:9" ht="12.75">
      <c r="A34" s="9" t="s">
        <v>28</v>
      </c>
      <c r="C34" s="34">
        <f>+C10</f>
        <v>2250</v>
      </c>
      <c r="D34" s="5">
        <v>3.89</v>
      </c>
      <c r="E34" s="34">
        <v>1000</v>
      </c>
      <c r="F34" s="5">
        <f>C34*I34/E34</f>
        <v>33.6375</v>
      </c>
      <c r="G34" s="5">
        <f>+H34</f>
        <v>8.7525</v>
      </c>
      <c r="H34" s="5">
        <f>C34*D34/E34</f>
        <v>8.7525</v>
      </c>
      <c r="I34" s="34">
        <v>14.95</v>
      </c>
    </row>
    <row r="35" spans="1:9" ht="12.75">
      <c r="A35" t="s">
        <v>72</v>
      </c>
      <c r="C35" s="34">
        <f>+C10</f>
        <v>2250</v>
      </c>
      <c r="D35" s="5">
        <v>2.55</v>
      </c>
      <c r="E35" s="34">
        <v>1000</v>
      </c>
      <c r="F35" s="5">
        <f>C35*I35/E35</f>
        <v>27.315</v>
      </c>
      <c r="G35" s="5">
        <v>5.74</v>
      </c>
      <c r="H35" s="5">
        <f>C35*D35/E35</f>
        <v>5.7375</v>
      </c>
      <c r="I35" s="35">
        <v>12.14</v>
      </c>
    </row>
    <row r="36" spans="1:9" ht="12.75">
      <c r="A36" s="31" t="s">
        <v>29</v>
      </c>
      <c r="C36" s="34">
        <f>C10</f>
        <v>2250</v>
      </c>
      <c r="D36" s="5">
        <v>9.5</v>
      </c>
      <c r="E36" s="34">
        <v>1000</v>
      </c>
      <c r="F36" s="5">
        <v>21.38</v>
      </c>
      <c r="G36" s="5">
        <f>C36*D36/E36</f>
        <v>21.375</v>
      </c>
      <c r="H36" s="5">
        <f>C36*D36/E36</f>
        <v>21.375</v>
      </c>
      <c r="I36" s="38">
        <v>6</v>
      </c>
    </row>
    <row r="37" spans="1:8" ht="12.75">
      <c r="A37" s="9" t="s">
        <v>30</v>
      </c>
      <c r="C37" s="34"/>
      <c r="E37" s="34"/>
      <c r="F37" s="6">
        <f>SUM(F34:F36)</f>
        <v>82.3325</v>
      </c>
      <c r="G37" s="6">
        <f>SUM(G34:G36)</f>
        <v>35.8675</v>
      </c>
      <c r="H37" s="6">
        <f>SUM(H34:H36)</f>
        <v>35.864999999999995</v>
      </c>
    </row>
    <row r="38" spans="1:5" ht="12.75">
      <c r="A38" s="17" t="s">
        <v>31</v>
      </c>
      <c r="C38" s="34"/>
      <c r="E38" s="34"/>
    </row>
    <row r="39" spans="1:8" ht="12.75">
      <c r="A39" s="9" t="s">
        <v>69</v>
      </c>
      <c r="C39" s="34">
        <f>C10</f>
        <v>2250</v>
      </c>
      <c r="D39" s="5">
        <v>203</v>
      </c>
      <c r="E39" s="45">
        <v>0.0432</v>
      </c>
      <c r="F39" s="5">
        <v>16.77</v>
      </c>
      <c r="G39" s="5">
        <f>+F39</f>
        <v>16.77</v>
      </c>
      <c r="H39" s="5">
        <f>C39/1000*0.85*D39*E39</f>
        <v>16.77186</v>
      </c>
    </row>
    <row r="40" spans="1:8" ht="12.75">
      <c r="A40" t="s">
        <v>109</v>
      </c>
      <c r="D40" s="5"/>
      <c r="E40" s="34"/>
      <c r="F40" s="5">
        <v>142.73</v>
      </c>
      <c r="G40" s="5">
        <f>+F40</f>
        <v>142.73</v>
      </c>
      <c r="H40" s="5">
        <v>142.73</v>
      </c>
    </row>
    <row r="41" spans="1:8" ht="12.75">
      <c r="A41" t="s">
        <v>32</v>
      </c>
      <c r="C41" s="34">
        <f>C10</f>
        <v>2250</v>
      </c>
      <c r="D41" s="5">
        <f>0.95+0.45</f>
        <v>1.4</v>
      </c>
      <c r="E41" s="34">
        <v>1000</v>
      </c>
      <c r="F41" s="5">
        <v>3.15</v>
      </c>
      <c r="G41" s="5">
        <f>+F41</f>
        <v>3.15</v>
      </c>
      <c r="H41" s="5">
        <f>C10*D41/E41</f>
        <v>3.15</v>
      </c>
    </row>
    <row r="42" spans="1:8" ht="12.75">
      <c r="A42" t="s">
        <v>33</v>
      </c>
      <c r="C42" s="34">
        <v>5</v>
      </c>
      <c r="D42" s="5">
        <v>13</v>
      </c>
      <c r="E42" s="34">
        <v>1</v>
      </c>
      <c r="F42" s="5">
        <v>0</v>
      </c>
      <c r="G42" s="5">
        <f>+H42</f>
        <v>65</v>
      </c>
      <c r="H42" s="5">
        <f>C42*D42/E42</f>
        <v>65</v>
      </c>
    </row>
    <row r="43" spans="1:8" ht="12.75">
      <c r="A43" s="9" t="s">
        <v>48</v>
      </c>
      <c r="E43" s="34"/>
      <c r="F43" s="5">
        <f>4000*0.03</f>
        <v>120</v>
      </c>
      <c r="G43" s="5">
        <v>0</v>
      </c>
      <c r="H43" s="5">
        <v>0</v>
      </c>
    </row>
    <row r="44" spans="1:8" ht="12.75">
      <c r="A44" s="9" t="s">
        <v>49</v>
      </c>
      <c r="E44" s="34"/>
      <c r="F44" s="5">
        <v>37</v>
      </c>
      <c r="G44" s="5">
        <f>4000*0.925/100</f>
        <v>37</v>
      </c>
      <c r="H44" s="5">
        <v>37</v>
      </c>
    </row>
    <row r="45" spans="1:8" ht="12.75">
      <c r="A45" t="s">
        <v>34</v>
      </c>
      <c r="C45" s="20">
        <f>H22+H31+H37+SUM(H39:H44)</f>
        <v>469.33986</v>
      </c>
      <c r="D45" s="44">
        <v>0.075</v>
      </c>
      <c r="E45" s="34">
        <v>9</v>
      </c>
      <c r="F45" s="5">
        <v>26.4</v>
      </c>
      <c r="G45" s="5">
        <f>+F45</f>
        <v>26.4</v>
      </c>
      <c r="H45" s="5">
        <f>C45*D45*E45/12</f>
        <v>26.400367125</v>
      </c>
    </row>
    <row r="46" spans="1:8" ht="12.75">
      <c r="A46" t="s">
        <v>35</v>
      </c>
      <c r="E46" s="34" t="s">
        <v>44</v>
      </c>
      <c r="F46" s="5">
        <f>SUM(F39:F45)</f>
        <v>346.04999999999995</v>
      </c>
      <c r="G46" s="5">
        <f>SUM(G39:G45)</f>
        <v>291.04999999999995</v>
      </c>
      <c r="H46" s="5">
        <f>SUM(H39:H45)</f>
        <v>291.052227125</v>
      </c>
    </row>
    <row r="47" spans="6:8" ht="12.75">
      <c r="F47" s="5"/>
      <c r="G47" s="5"/>
      <c r="H47" s="5"/>
    </row>
    <row r="48" spans="1:8" ht="13.5" thickBot="1">
      <c r="A48" s="9" t="s">
        <v>36</v>
      </c>
      <c r="F48" s="5">
        <f>F22+F32+F37+F46</f>
        <v>714.6965</v>
      </c>
      <c r="G48" s="5">
        <f>G22+G32+G37+G46</f>
        <v>524.9635</v>
      </c>
      <c r="H48" s="5">
        <f>H22+H32+H37+H46</f>
        <v>524.9702271250001</v>
      </c>
    </row>
    <row r="49" spans="1:8" ht="13.5" thickBot="1">
      <c r="A49" s="8" t="s">
        <v>37</v>
      </c>
      <c r="F49" s="19">
        <f>F13-F48</f>
        <v>56.743499999999926</v>
      </c>
      <c r="G49" s="19">
        <f>G13-G48</f>
        <v>246.4765</v>
      </c>
      <c r="H49" s="22">
        <f>H13-H48</f>
        <v>246.46977287499988</v>
      </c>
    </row>
    <row r="50" spans="6:8" ht="12.75">
      <c r="F50" s="5"/>
      <c r="G50" s="5"/>
      <c r="H50" s="5"/>
    </row>
    <row r="51" spans="1:8" ht="12.75">
      <c r="A51" t="s">
        <v>38</v>
      </c>
      <c r="F51" s="5"/>
      <c r="G51" s="5"/>
      <c r="H51" s="21">
        <f>H48/(C10/1000)</f>
        <v>233.32010094444448</v>
      </c>
    </row>
    <row r="53" spans="1:8" ht="15.75">
      <c r="A53" s="77" t="s">
        <v>80</v>
      </c>
      <c r="B53" s="77"/>
      <c r="C53" s="77"/>
      <c r="D53" s="77"/>
      <c r="E53" s="77"/>
      <c r="F53" s="77"/>
      <c r="G53" s="77"/>
      <c r="H53" s="77"/>
    </row>
    <row r="54" spans="6:8" ht="12.75">
      <c r="F54" s="5"/>
      <c r="G54" s="5"/>
      <c r="H54" s="5"/>
    </row>
    <row r="55" spans="4:8" ht="15.75">
      <c r="D55" s="50" t="s">
        <v>79</v>
      </c>
      <c r="F55" s="5"/>
      <c r="G55" s="5"/>
      <c r="H55" s="5"/>
    </row>
    <row r="56" spans="4:8" ht="15.75">
      <c r="D56" s="50"/>
      <c r="F56" s="5"/>
      <c r="G56" s="5"/>
      <c r="H56" s="12" t="s">
        <v>90</v>
      </c>
    </row>
    <row r="57" spans="6:8" ht="12.75">
      <c r="F57" s="15" t="s">
        <v>22</v>
      </c>
      <c r="G57" s="33" t="s">
        <v>23</v>
      </c>
      <c r="H57" s="5"/>
    </row>
    <row r="58" spans="1:8" ht="12.75">
      <c r="A58" t="s">
        <v>88</v>
      </c>
      <c r="F58" s="5">
        <f>+F48</f>
        <v>714.6965</v>
      </c>
      <c r="G58" s="5">
        <f>+H48</f>
        <v>524.9702271250001</v>
      </c>
      <c r="H58" s="46" t="s">
        <v>89</v>
      </c>
    </row>
    <row r="59" spans="6:8" ht="12.75">
      <c r="F59" s="5"/>
      <c r="G59" s="5"/>
      <c r="H59" s="5"/>
    </row>
    <row r="60" spans="1:8" ht="12.75">
      <c r="A60" t="s">
        <v>50</v>
      </c>
      <c r="F60" s="5"/>
      <c r="G60" s="5"/>
      <c r="H60" s="5"/>
    </row>
    <row r="61" spans="1:8" ht="12.75">
      <c r="A61" t="s">
        <v>51</v>
      </c>
      <c r="F61" s="5">
        <f>+F11</f>
        <v>421.34</v>
      </c>
      <c r="G61" s="5">
        <f>+H11</f>
        <v>421.34</v>
      </c>
      <c r="H61" s="46" t="s">
        <v>89</v>
      </c>
    </row>
    <row r="62" spans="1:8" ht="12.75">
      <c r="A62" t="s">
        <v>52</v>
      </c>
      <c r="F62" s="5">
        <f>+F12</f>
        <v>66.6</v>
      </c>
      <c r="G62" s="5">
        <f>+H12</f>
        <v>66.60000000000001</v>
      </c>
      <c r="H62" s="46" t="s">
        <v>89</v>
      </c>
    </row>
    <row r="63" spans="6:8" ht="10.5" customHeight="1">
      <c r="F63" s="41" t="s">
        <v>53</v>
      </c>
      <c r="G63" s="41" t="s">
        <v>53</v>
      </c>
      <c r="H63" s="46" t="s">
        <v>89</v>
      </c>
    </row>
    <row r="64" spans="1:8" ht="12.75">
      <c r="A64" t="s">
        <v>54</v>
      </c>
      <c r="F64" s="5">
        <f>F61+F62</f>
        <v>487.93999999999994</v>
      </c>
      <c r="G64" s="5">
        <f>G61+G62</f>
        <v>487.94</v>
      </c>
      <c r="H64" s="46" t="s">
        <v>89</v>
      </c>
    </row>
    <row r="65" spans="6:8" ht="12.75">
      <c r="F65" s="5"/>
      <c r="G65" s="5"/>
      <c r="H65" s="5"/>
    </row>
    <row r="67" spans="6:8" ht="12.75">
      <c r="F67" s="5"/>
      <c r="G67" s="5"/>
      <c r="H67" s="42"/>
    </row>
    <row r="68" spans="1:8" ht="12.75">
      <c r="A68" t="s">
        <v>85</v>
      </c>
      <c r="F68" s="5">
        <f>F58-F64</f>
        <v>226.75650000000007</v>
      </c>
      <c r="G68" s="7">
        <f>G58-G64</f>
        <v>37.03022712500007</v>
      </c>
      <c r="H68" s="46" t="s">
        <v>89</v>
      </c>
    </row>
    <row r="69" spans="6:8" ht="12.75">
      <c r="F69" s="5"/>
      <c r="G69" s="42"/>
      <c r="H69" s="46" t="s">
        <v>89</v>
      </c>
    </row>
    <row r="70" spans="1:8" ht="12.75">
      <c r="A70" t="s">
        <v>55</v>
      </c>
      <c r="F70" s="42">
        <f>C10/1000</f>
        <v>2.25</v>
      </c>
      <c r="G70" s="43">
        <f>+C10/1000</f>
        <v>2.25</v>
      </c>
      <c r="H70" s="46" t="s">
        <v>89</v>
      </c>
    </row>
    <row r="71" spans="6:8" ht="12.75">
      <c r="F71" s="5"/>
      <c r="G71" s="42"/>
      <c r="H71" s="46"/>
    </row>
    <row r="72" spans="1:8" ht="14.25">
      <c r="A72" t="s">
        <v>57</v>
      </c>
      <c r="F72" s="5">
        <f>F68/F70</f>
        <v>100.7806666666667</v>
      </c>
      <c r="G72" s="52">
        <f>G68/G70</f>
        <v>16.45787872222225</v>
      </c>
      <c r="H72" s="46" t="s">
        <v>89</v>
      </c>
    </row>
    <row r="73" ht="13.5" thickBot="1"/>
    <row r="74" spans="1:7" ht="16.5" thickBot="1" thickTop="1">
      <c r="A74" t="s">
        <v>91</v>
      </c>
      <c r="G74" s="54">
        <f>(F72+G72)/2</f>
        <v>58.619272694444476</v>
      </c>
    </row>
    <row r="75" ht="13.5" thickTop="1"/>
    <row r="78" spans="1:7" ht="12.75">
      <c r="A78" t="s">
        <v>92</v>
      </c>
      <c r="B78" s="55">
        <f>+H3</f>
        <v>39120</v>
      </c>
      <c r="G78" t="s">
        <v>56</v>
      </c>
    </row>
  </sheetData>
  <mergeCells count="1">
    <mergeCell ref="A53:H53"/>
  </mergeCells>
  <printOptions/>
  <pageMargins left="0.75" right="0.75" top="1" bottom="1" header="0.4921259845" footer="0.4921259845"/>
  <pageSetup horizontalDpi="600" verticalDpi="600" orientation="portrait" scale="97" r:id="rId1"/>
  <headerFooter alignWithMargins="0">
    <oddFooter>&amp;LMAPAQ, Centre-du-Québec&amp;C5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80"/>
  <sheetViews>
    <sheetView workbookViewId="0" topLeftCell="A1">
      <selection activeCell="A1" sqref="A1"/>
    </sheetView>
  </sheetViews>
  <sheetFormatPr defaultColWidth="11.421875" defaultRowHeight="12.75"/>
  <cols>
    <col min="3" max="3" width="9.7109375" style="0" customWidth="1"/>
  </cols>
  <sheetData>
    <row r="1" spans="2:7" ht="15.75">
      <c r="B1" s="24" t="s">
        <v>99</v>
      </c>
      <c r="E1" s="2"/>
      <c r="F1" s="2"/>
      <c r="G1" s="2"/>
    </row>
    <row r="2" ht="5.25" customHeight="1"/>
    <row r="3" spans="2:8" ht="12.75">
      <c r="B3" s="8" t="s">
        <v>0</v>
      </c>
      <c r="D3" t="s">
        <v>102</v>
      </c>
      <c r="H3" s="29">
        <v>39120</v>
      </c>
    </row>
    <row r="4" ht="12.75">
      <c r="B4" s="9" t="s">
        <v>1</v>
      </c>
    </row>
    <row r="5" ht="12.75">
      <c r="B5" s="14" t="s">
        <v>76</v>
      </c>
    </row>
    <row r="6" ht="9" customHeight="1"/>
    <row r="7" spans="1:8" ht="12.75">
      <c r="A7" s="15" t="s">
        <v>2</v>
      </c>
      <c r="B7" s="1"/>
      <c r="C7" s="15" t="s">
        <v>3</v>
      </c>
      <c r="D7" s="15" t="s">
        <v>4</v>
      </c>
      <c r="E7" s="15" t="s">
        <v>5</v>
      </c>
      <c r="F7" s="4" t="s">
        <v>6</v>
      </c>
      <c r="G7" s="15" t="s">
        <v>7</v>
      </c>
      <c r="H7" s="3" t="s">
        <v>8</v>
      </c>
    </row>
    <row r="8" spans="3:8" ht="12.75">
      <c r="C8" s="1"/>
      <c r="D8" s="1"/>
      <c r="E8" s="1"/>
      <c r="F8" s="15" t="s">
        <v>9</v>
      </c>
      <c r="G8" s="1"/>
      <c r="H8" s="16" t="s">
        <v>10</v>
      </c>
    </row>
    <row r="9" spans="1:8" ht="12.75">
      <c r="A9" s="8" t="s">
        <v>11</v>
      </c>
      <c r="C9" s="60" t="s">
        <v>100</v>
      </c>
      <c r="D9" s="59">
        <v>50</v>
      </c>
      <c r="F9" s="3"/>
      <c r="G9" s="1"/>
      <c r="H9" s="4"/>
    </row>
    <row r="10" spans="1:8" ht="12.75">
      <c r="A10" s="18" t="s">
        <v>96</v>
      </c>
      <c r="B10" s="1"/>
      <c r="C10" s="39">
        <f>3000*0.75</f>
        <v>2250</v>
      </c>
      <c r="D10" s="7">
        <v>126</v>
      </c>
      <c r="E10" s="34">
        <v>1000</v>
      </c>
      <c r="F10" s="5">
        <v>396</v>
      </c>
      <c r="G10" s="5">
        <f>+F10</f>
        <v>396</v>
      </c>
      <c r="H10" s="7">
        <f>C10*(D10+D9)/E10</f>
        <v>396</v>
      </c>
    </row>
    <row r="11" spans="1:8" ht="12.75">
      <c r="A11" s="30" t="s">
        <v>108</v>
      </c>
      <c r="B11" s="1"/>
      <c r="C11" s="40">
        <v>3200</v>
      </c>
      <c r="D11" s="7">
        <v>131.67</v>
      </c>
      <c r="E11" s="34">
        <v>1000</v>
      </c>
      <c r="F11" s="5">
        <v>421.34</v>
      </c>
      <c r="G11" s="5">
        <f>+F11</f>
        <v>421.34</v>
      </c>
      <c r="H11" s="7">
        <v>421.34</v>
      </c>
    </row>
    <row r="12" spans="1:8" ht="12.75">
      <c r="A12" s="26" t="s">
        <v>43</v>
      </c>
      <c r="B12" s="1"/>
      <c r="C12" s="40">
        <v>175</v>
      </c>
      <c r="D12" s="7">
        <v>0.9</v>
      </c>
      <c r="E12" s="34">
        <v>1</v>
      </c>
      <c r="F12" s="5">
        <v>157.5</v>
      </c>
      <c r="G12" s="5">
        <f>+F12</f>
        <v>157.5</v>
      </c>
      <c r="H12" s="7">
        <f>C12*D12/E12</f>
        <v>157.5</v>
      </c>
    </row>
    <row r="13" spans="1:8" ht="12.75">
      <c r="A13" s="26" t="s">
        <v>13</v>
      </c>
      <c r="B13" s="1"/>
      <c r="D13" s="5">
        <f>SUM(D9:D11)</f>
        <v>307.66999999999996</v>
      </c>
      <c r="F13" s="5">
        <f>SUM(F10:F12)</f>
        <v>974.8399999999999</v>
      </c>
      <c r="G13" s="5">
        <f>SUM(G10:G12)</f>
        <v>974.8399999999999</v>
      </c>
      <c r="H13" s="7">
        <f>SUM(H10:H12)</f>
        <v>974.8399999999999</v>
      </c>
    </row>
    <row r="14" spans="1:8" ht="15" customHeight="1">
      <c r="A14" s="8" t="s">
        <v>14</v>
      </c>
      <c r="F14" s="5"/>
      <c r="G14" s="5"/>
      <c r="H14" s="5"/>
    </row>
    <row r="15" spans="1:7" ht="12.75">
      <c r="A15" s="11" t="s">
        <v>15</v>
      </c>
      <c r="F15" s="5"/>
      <c r="G15" s="5"/>
    </row>
    <row r="16" spans="1:8" ht="14.25" customHeight="1">
      <c r="A16" s="30" t="s">
        <v>47</v>
      </c>
      <c r="C16" s="34">
        <v>105</v>
      </c>
      <c r="D16" s="7">
        <v>19.8</v>
      </c>
      <c r="E16" s="34">
        <v>25</v>
      </c>
      <c r="F16" s="5">
        <v>83.16</v>
      </c>
      <c r="G16" s="5">
        <f>+F16</f>
        <v>83.16</v>
      </c>
      <c r="H16" s="5">
        <f>C16*D16/E16</f>
        <v>83.16</v>
      </c>
    </row>
    <row r="17" spans="1:8" ht="12.75">
      <c r="A17" s="9" t="s">
        <v>60</v>
      </c>
      <c r="C17" s="34"/>
      <c r="D17" s="7"/>
      <c r="E17" s="34"/>
      <c r="F17" s="5"/>
      <c r="G17" s="5"/>
      <c r="H17" s="5"/>
    </row>
    <row r="18" spans="1:8" ht="12.75">
      <c r="A18" s="9" t="s">
        <v>58</v>
      </c>
      <c r="C18" s="34">
        <v>200</v>
      </c>
      <c r="D18" s="7">
        <v>491.28</v>
      </c>
      <c r="E18" s="34">
        <v>1000</v>
      </c>
      <c r="F18" s="5">
        <v>98.26</v>
      </c>
      <c r="G18" s="5">
        <f>+F18</f>
        <v>98.26</v>
      </c>
      <c r="H18" s="5">
        <f>C18*D18/E18</f>
        <v>98.256</v>
      </c>
    </row>
    <row r="19" spans="1:8" ht="12.75">
      <c r="A19" s="9" t="s">
        <v>61</v>
      </c>
      <c r="C19" s="34">
        <v>36</v>
      </c>
      <c r="D19" s="7">
        <v>430</v>
      </c>
      <c r="E19" s="34">
        <v>1000</v>
      </c>
      <c r="F19" s="5">
        <v>15.48</v>
      </c>
      <c r="G19" s="5">
        <f>+F19</f>
        <v>15.48</v>
      </c>
      <c r="H19" s="5">
        <f>C19*D19/E19</f>
        <v>15.48</v>
      </c>
    </row>
    <row r="20" spans="1:8" ht="12.75">
      <c r="A20" t="s">
        <v>18</v>
      </c>
      <c r="C20" s="34">
        <v>0.3</v>
      </c>
      <c r="D20" s="7">
        <v>29</v>
      </c>
      <c r="E20" s="34">
        <v>1</v>
      </c>
      <c r="F20" s="5">
        <v>8.7</v>
      </c>
      <c r="G20" s="5">
        <f>+F20</f>
        <v>8.7</v>
      </c>
      <c r="H20" s="5">
        <f>C20*D20/E20</f>
        <v>8.7</v>
      </c>
    </row>
    <row r="21" spans="1:8" ht="12.75">
      <c r="A21" s="9" t="s">
        <v>78</v>
      </c>
      <c r="C21" s="47">
        <v>1</v>
      </c>
      <c r="D21" s="7">
        <v>149.79</v>
      </c>
      <c r="E21" s="34">
        <v>8</v>
      </c>
      <c r="F21" s="5">
        <v>18.72</v>
      </c>
      <c r="G21" s="5">
        <f>+F21</f>
        <v>18.72</v>
      </c>
      <c r="H21" s="5">
        <f>C21*D21/E21</f>
        <v>18.72375</v>
      </c>
    </row>
    <row r="22" spans="2:8" ht="12.75">
      <c r="B22" t="s">
        <v>20</v>
      </c>
      <c r="F22" s="28">
        <f>SUM(F16:F21)</f>
        <v>224.32</v>
      </c>
      <c r="G22" s="6">
        <f>+F22</f>
        <v>224.32</v>
      </c>
      <c r="H22" s="10">
        <f>SUM(H16:H21)</f>
        <v>224.31974999999997</v>
      </c>
    </row>
    <row r="23" spans="1:8" ht="15" customHeight="1">
      <c r="A23" s="11" t="s">
        <v>21</v>
      </c>
      <c r="F23" s="15" t="s">
        <v>22</v>
      </c>
      <c r="G23" s="33" t="s">
        <v>23</v>
      </c>
      <c r="H23" s="5"/>
    </row>
    <row r="24" spans="1:8" ht="14.25" customHeight="1">
      <c r="A24" s="9" t="s">
        <v>24</v>
      </c>
      <c r="F24" s="5">
        <v>72.01</v>
      </c>
      <c r="G24" s="5">
        <v>25.15</v>
      </c>
      <c r="H24" s="12">
        <f>+G24</f>
        <v>25.15</v>
      </c>
    </row>
    <row r="25" spans="1:8" ht="12.75">
      <c r="A25" t="s">
        <v>63</v>
      </c>
      <c r="F25" s="5">
        <v>17.37</v>
      </c>
      <c r="G25" s="5">
        <v>6.26</v>
      </c>
      <c r="H25" s="12">
        <f aca="true" t="shared" si="0" ref="H25:H31">+G25</f>
        <v>6.26</v>
      </c>
    </row>
    <row r="26" spans="1:8" ht="12.75">
      <c r="A26" t="s">
        <v>64</v>
      </c>
      <c r="F26" s="5">
        <v>16.92</v>
      </c>
      <c r="G26" s="5">
        <v>5.48</v>
      </c>
      <c r="H26" s="12">
        <f t="shared" si="0"/>
        <v>5.48</v>
      </c>
    </row>
    <row r="27" spans="1:8" ht="12.75">
      <c r="A27" s="9" t="s">
        <v>65</v>
      </c>
      <c r="F27" s="5">
        <v>3.9</v>
      </c>
      <c r="G27" s="5">
        <v>0.73</v>
      </c>
      <c r="H27" s="12">
        <f t="shared" si="0"/>
        <v>0.73</v>
      </c>
    </row>
    <row r="28" spans="1:8" ht="12.75">
      <c r="A28" s="9" t="s">
        <v>25</v>
      </c>
      <c r="F28" s="5">
        <v>27.85</v>
      </c>
      <c r="G28" s="5">
        <v>6.03</v>
      </c>
      <c r="H28" s="12">
        <f t="shared" si="0"/>
        <v>6.03</v>
      </c>
    </row>
    <row r="29" spans="1:8" ht="12.75">
      <c r="A29" s="9" t="s">
        <v>66</v>
      </c>
      <c r="F29" s="5">
        <v>11.79</v>
      </c>
      <c r="G29" s="5">
        <v>2.38</v>
      </c>
      <c r="H29" s="12">
        <f t="shared" si="0"/>
        <v>2.38</v>
      </c>
    </row>
    <row r="30" spans="1:8" ht="12.75">
      <c r="A30" t="s">
        <v>67</v>
      </c>
      <c r="F30" s="5">
        <v>73.79</v>
      </c>
      <c r="G30" s="5">
        <v>19.44</v>
      </c>
      <c r="H30" s="12">
        <f t="shared" si="0"/>
        <v>19.44</v>
      </c>
    </row>
    <row r="31" spans="1:8" ht="12.75">
      <c r="A31" t="s">
        <v>75</v>
      </c>
      <c r="F31" s="5">
        <v>15.16</v>
      </c>
      <c r="G31" s="5">
        <v>4.54</v>
      </c>
      <c r="H31" s="12">
        <f t="shared" si="0"/>
        <v>4.54</v>
      </c>
    </row>
    <row r="32" spans="1:8" ht="12.75">
      <c r="A32" t="s">
        <v>26</v>
      </c>
      <c r="F32" s="28">
        <f>SUM(F24:F31)</f>
        <v>238.79</v>
      </c>
      <c r="G32" s="28">
        <f>SUM(G24:G31)</f>
        <v>70.01</v>
      </c>
      <c r="H32" s="13">
        <f>SUM(H24:H31)</f>
        <v>70.01</v>
      </c>
    </row>
    <row r="33" ht="15" customHeight="1">
      <c r="A33" s="11" t="s">
        <v>27</v>
      </c>
    </row>
    <row r="34" spans="1:9" ht="14.25" customHeight="1">
      <c r="A34" s="9" t="s">
        <v>28</v>
      </c>
      <c r="C34" s="34">
        <f>+C10</f>
        <v>2250</v>
      </c>
      <c r="D34" s="7">
        <v>3.89</v>
      </c>
      <c r="E34" s="34">
        <v>1000</v>
      </c>
      <c r="F34" s="5">
        <f>C34*I34/E34</f>
        <v>33.6375</v>
      </c>
      <c r="G34" s="5">
        <f>+H34</f>
        <v>8.7525</v>
      </c>
      <c r="H34" s="5">
        <f>C34*D34/E34</f>
        <v>8.7525</v>
      </c>
      <c r="I34" s="34">
        <v>14.95</v>
      </c>
    </row>
    <row r="35" spans="1:9" ht="12.75">
      <c r="A35" t="s">
        <v>72</v>
      </c>
      <c r="C35" s="34">
        <f>+C10</f>
        <v>2250</v>
      </c>
      <c r="D35" s="7">
        <v>2.55</v>
      </c>
      <c r="E35" s="34">
        <v>1000</v>
      </c>
      <c r="F35" s="5">
        <f>C35*I35/E35</f>
        <v>27.315</v>
      </c>
      <c r="G35" s="5">
        <f>C35*D35/E35</f>
        <v>5.7375</v>
      </c>
      <c r="H35" s="5">
        <f>C35*D35/E35</f>
        <v>5.7375</v>
      </c>
      <c r="I35" s="35">
        <v>12.14</v>
      </c>
    </row>
    <row r="36" spans="2:9" ht="12.75">
      <c r="B36" s="49" t="s">
        <v>74</v>
      </c>
      <c r="C36" s="34">
        <f>C10</f>
        <v>2250</v>
      </c>
      <c r="D36" s="7">
        <v>9.5</v>
      </c>
      <c r="E36" s="34">
        <v>1000</v>
      </c>
      <c r="F36" s="5">
        <v>21.38</v>
      </c>
      <c r="G36" s="5">
        <f>C36*D36/E36</f>
        <v>21.375</v>
      </c>
      <c r="H36" s="5">
        <f>C36*D36/E36</f>
        <v>21.375</v>
      </c>
      <c r="I36" s="36">
        <v>9.5</v>
      </c>
    </row>
    <row r="37" spans="1:9" ht="12.75">
      <c r="A37" t="s">
        <v>32</v>
      </c>
      <c r="C37" s="34">
        <f>+C36</f>
        <v>2250</v>
      </c>
      <c r="D37" s="7">
        <f>0.95+0.45</f>
        <v>1.4</v>
      </c>
      <c r="E37" s="34">
        <v>1000</v>
      </c>
      <c r="F37" s="5">
        <v>3.15</v>
      </c>
      <c r="G37" s="5">
        <f>+F37</f>
        <v>3.15</v>
      </c>
      <c r="H37" s="5">
        <f>C37*D37/E37</f>
        <v>3.15</v>
      </c>
      <c r="I37" s="36"/>
    </row>
    <row r="38" spans="1:8" ht="12.75">
      <c r="A38" s="9" t="s">
        <v>30</v>
      </c>
      <c r="F38" s="6">
        <f>SUM(F34:F37)</f>
        <v>85.4825</v>
      </c>
      <c r="G38" s="6">
        <f>SUM(G34:G37)</f>
        <v>39.01499999999999</v>
      </c>
      <c r="H38" s="6">
        <f>SUM(H34:H37)</f>
        <v>39.01499999999999</v>
      </c>
    </row>
    <row r="39" ht="15" customHeight="1">
      <c r="A39" s="17" t="s">
        <v>31</v>
      </c>
    </row>
    <row r="40" spans="1:8" ht="14.25" customHeight="1">
      <c r="A40" s="9" t="s">
        <v>70</v>
      </c>
      <c r="C40" s="34">
        <f>C10</f>
        <v>2250</v>
      </c>
      <c r="D40" s="7">
        <v>203</v>
      </c>
      <c r="E40" s="45">
        <v>0.0432</v>
      </c>
      <c r="F40" s="5">
        <v>16.77</v>
      </c>
      <c r="G40" s="5">
        <f>+F40</f>
        <v>16.77</v>
      </c>
      <c r="H40" s="5">
        <f>C40/1000*0.85*D40*E40</f>
        <v>16.77186</v>
      </c>
    </row>
    <row r="41" spans="1:8" ht="12.75">
      <c r="A41" t="s">
        <v>106</v>
      </c>
      <c r="C41" s="34"/>
      <c r="D41" s="7"/>
      <c r="E41" s="34"/>
      <c r="F41" s="5">
        <v>142.73</v>
      </c>
      <c r="G41" s="5">
        <f>+F41</f>
        <v>142.73</v>
      </c>
      <c r="H41" s="5">
        <v>142.73</v>
      </c>
    </row>
    <row r="42" spans="1:8" ht="12.75">
      <c r="A42" t="s">
        <v>33</v>
      </c>
      <c r="C42" s="34">
        <v>5</v>
      </c>
      <c r="D42" s="7">
        <v>13</v>
      </c>
      <c r="E42" s="34">
        <v>1</v>
      </c>
      <c r="F42" s="5">
        <v>0</v>
      </c>
      <c r="G42" s="5">
        <f>+H42</f>
        <v>65</v>
      </c>
      <c r="H42" s="5">
        <f>C42*D42/E42</f>
        <v>65</v>
      </c>
    </row>
    <row r="43" spans="1:8" ht="12.75">
      <c r="A43" s="9" t="s">
        <v>46</v>
      </c>
      <c r="C43" s="34"/>
      <c r="D43" s="34"/>
      <c r="E43" s="34"/>
      <c r="F43" s="5">
        <f>4000*0.03</f>
        <v>120</v>
      </c>
      <c r="G43" s="5"/>
      <c r="H43" s="5">
        <v>0</v>
      </c>
    </row>
    <row r="44" spans="1:8" ht="12.75">
      <c r="A44" s="9" t="s">
        <v>94</v>
      </c>
      <c r="C44" s="34"/>
      <c r="D44" s="34"/>
      <c r="E44" s="34"/>
      <c r="F44" s="5">
        <v>37</v>
      </c>
      <c r="G44" s="5">
        <f>4000*0.925/100</f>
        <v>37</v>
      </c>
      <c r="H44" s="5">
        <v>37</v>
      </c>
    </row>
    <row r="45" spans="1:8" ht="12.75">
      <c r="A45" t="s">
        <v>34</v>
      </c>
      <c r="C45" s="35">
        <f>H22+H31+H38+SUM(H40:H44)</f>
        <v>529.3766099999999</v>
      </c>
      <c r="D45" s="45">
        <v>0.075</v>
      </c>
      <c r="E45" s="34">
        <v>9</v>
      </c>
      <c r="F45" s="5">
        <v>29.78</v>
      </c>
      <c r="G45" s="5">
        <f>+F45</f>
        <v>29.78</v>
      </c>
      <c r="H45" s="5">
        <f>C45*D45*E45/12</f>
        <v>29.777434312499995</v>
      </c>
    </row>
    <row r="46" spans="1:8" ht="12.75">
      <c r="A46" t="s">
        <v>35</v>
      </c>
      <c r="C46" s="34"/>
      <c r="D46" s="34"/>
      <c r="E46" s="34" t="s">
        <v>44</v>
      </c>
      <c r="F46" s="5">
        <f>SUM(F40:F45)</f>
        <v>346.28</v>
      </c>
      <c r="G46" s="5">
        <f>SUM(G40:G45)</f>
        <v>291.28</v>
      </c>
      <c r="H46" s="5">
        <f>SUM(H40:H45)</f>
        <v>291.2792943125</v>
      </c>
    </row>
    <row r="47" spans="6:8" ht="6" customHeight="1">
      <c r="F47" s="5"/>
      <c r="G47" s="5"/>
      <c r="H47" s="5"/>
    </row>
    <row r="48" spans="1:8" ht="13.5" thickBot="1">
      <c r="A48" s="9" t="s">
        <v>36</v>
      </c>
      <c r="F48" s="5">
        <f>F22+F32+F38+F46</f>
        <v>894.8725</v>
      </c>
      <c r="G48" s="5">
        <f>G22+G32+G38+G46</f>
        <v>624.625</v>
      </c>
      <c r="H48" s="5">
        <f>H22+H32+H38+H46</f>
        <v>624.6240443125</v>
      </c>
    </row>
    <row r="49" spans="1:8" ht="13.5" thickBot="1">
      <c r="A49" s="8" t="s">
        <v>37</v>
      </c>
      <c r="F49" s="19">
        <f>F13-F48</f>
        <v>79.96749999999997</v>
      </c>
      <c r="G49" s="19">
        <f>G13-G48</f>
        <v>350.2149999999999</v>
      </c>
      <c r="H49" s="22">
        <f>H13-H48</f>
        <v>350.2159556874999</v>
      </c>
    </row>
    <row r="50" spans="6:8" ht="12.75">
      <c r="F50" s="5"/>
      <c r="G50" s="5"/>
      <c r="H50" s="5"/>
    </row>
    <row r="51" spans="1:8" ht="12.75">
      <c r="A51" t="s">
        <v>38</v>
      </c>
      <c r="F51" s="5"/>
      <c r="G51" s="5"/>
      <c r="H51" s="21">
        <f>H48/(C10/1000)</f>
        <v>277.6106863611111</v>
      </c>
    </row>
    <row r="55" spans="1:8" ht="15.75">
      <c r="A55" s="77" t="s">
        <v>80</v>
      </c>
      <c r="B55" s="77"/>
      <c r="C55" s="77"/>
      <c r="D55" s="77"/>
      <c r="E55" s="77"/>
      <c r="F55" s="77"/>
      <c r="G55" s="77"/>
      <c r="H55" s="77"/>
    </row>
    <row r="56" spans="6:8" ht="12.75">
      <c r="F56" s="5"/>
      <c r="G56" s="5"/>
      <c r="H56" s="5"/>
    </row>
    <row r="57" spans="4:8" ht="15.75">
      <c r="D57" s="50" t="s">
        <v>82</v>
      </c>
      <c r="F57" s="5"/>
      <c r="G57" s="5"/>
      <c r="H57" s="5"/>
    </row>
    <row r="58" spans="4:8" ht="15.75">
      <c r="D58" s="50"/>
      <c r="F58" s="5"/>
      <c r="G58" s="5"/>
      <c r="H58" s="5"/>
    </row>
    <row r="59" spans="4:8" ht="15.75">
      <c r="D59" s="50"/>
      <c r="F59" s="15" t="s">
        <v>22</v>
      </c>
      <c r="G59" s="33" t="s">
        <v>23</v>
      </c>
      <c r="H59" s="5"/>
    </row>
    <row r="60" spans="6:8" ht="12.75">
      <c r="F60" s="5"/>
      <c r="G60" s="5"/>
      <c r="H60" s="5"/>
    </row>
    <row r="61" spans="1:8" ht="12.75">
      <c r="A61" t="s">
        <v>88</v>
      </c>
      <c r="F61" s="5">
        <f>+F48</f>
        <v>894.8725</v>
      </c>
      <c r="G61" s="5">
        <f>+H48</f>
        <v>624.6240443125</v>
      </c>
      <c r="H61" s="46" t="s">
        <v>89</v>
      </c>
    </row>
    <row r="62" spans="6:8" ht="12.75">
      <c r="F62" s="5"/>
      <c r="G62" s="5"/>
      <c r="H62" s="5"/>
    </row>
    <row r="63" spans="1:8" ht="12.75">
      <c r="A63" t="s">
        <v>50</v>
      </c>
      <c r="F63" s="5"/>
      <c r="G63" s="5"/>
      <c r="H63" s="5"/>
    </row>
    <row r="64" spans="1:8" ht="12.75">
      <c r="A64" t="s">
        <v>51</v>
      </c>
      <c r="F64" s="5">
        <f>+G11</f>
        <v>421.34</v>
      </c>
      <c r="G64" s="5">
        <f>+H11</f>
        <v>421.34</v>
      </c>
      <c r="H64" s="46" t="s">
        <v>89</v>
      </c>
    </row>
    <row r="65" spans="1:8" ht="12.75">
      <c r="A65" t="s">
        <v>52</v>
      </c>
      <c r="F65" s="5">
        <f>+G12</f>
        <v>157.5</v>
      </c>
      <c r="G65" s="5">
        <f>+H12</f>
        <v>157.5</v>
      </c>
      <c r="H65" s="46" t="s">
        <v>89</v>
      </c>
    </row>
    <row r="66" spans="6:8" ht="12.75">
      <c r="F66" s="41" t="s">
        <v>53</v>
      </c>
      <c r="G66" s="41" t="s">
        <v>53</v>
      </c>
      <c r="H66" s="46" t="s">
        <v>89</v>
      </c>
    </row>
    <row r="67" spans="1:8" ht="12.75">
      <c r="A67" t="s">
        <v>54</v>
      </c>
      <c r="F67" s="5">
        <f>F64+F65</f>
        <v>578.8399999999999</v>
      </c>
      <c r="G67" s="5">
        <f>G64+G65</f>
        <v>578.8399999999999</v>
      </c>
      <c r="H67" s="46" t="s">
        <v>89</v>
      </c>
    </row>
    <row r="68" spans="6:8" ht="12.75">
      <c r="F68" s="5"/>
      <c r="G68" s="5"/>
      <c r="H68" s="5"/>
    </row>
    <row r="69" spans="6:8" ht="12.75">
      <c r="F69" s="5"/>
      <c r="G69" s="5"/>
      <c r="H69" s="42"/>
    </row>
    <row r="70" spans="1:8" ht="12.75">
      <c r="A70" t="s">
        <v>84</v>
      </c>
      <c r="F70" s="7">
        <f>F61-F67</f>
        <v>316.0325</v>
      </c>
      <c r="G70" s="7">
        <f>G61-G67</f>
        <v>45.7840443125001</v>
      </c>
      <c r="H70" s="46" t="s">
        <v>89</v>
      </c>
    </row>
    <row r="71" spans="6:8" ht="12.75">
      <c r="F71" s="42"/>
      <c r="G71" s="42"/>
      <c r="H71" s="46"/>
    </row>
    <row r="72" spans="1:8" ht="12.75">
      <c r="A72" t="s">
        <v>55</v>
      </c>
      <c r="F72" s="51">
        <f>+G72</f>
        <v>2.25</v>
      </c>
      <c r="G72" s="51">
        <f>+C10/1000</f>
        <v>2.25</v>
      </c>
      <c r="H72" s="46" t="s">
        <v>89</v>
      </c>
    </row>
    <row r="73" spans="6:8" ht="12.75">
      <c r="F73" s="42"/>
      <c r="G73" s="42"/>
      <c r="H73" s="46"/>
    </row>
    <row r="74" spans="1:8" ht="14.25">
      <c r="A74" t="s">
        <v>83</v>
      </c>
      <c r="F74" s="52">
        <f>F70/F72</f>
        <v>140.4588888888889</v>
      </c>
      <c r="G74" s="52">
        <f>G70/G72</f>
        <v>20.348464138888932</v>
      </c>
      <c r="H74" s="46" t="s">
        <v>89</v>
      </c>
    </row>
    <row r="75" ht="13.5" thickBot="1">
      <c r="H75" s="46"/>
    </row>
    <row r="76" spans="1:8" ht="16.5" thickBot="1" thickTop="1">
      <c r="A76" t="s">
        <v>97</v>
      </c>
      <c r="G76" s="58">
        <f>AVERAGE(F74:G74)</f>
        <v>80.40367651388893</v>
      </c>
      <c r="H76" s="46" t="s">
        <v>89</v>
      </c>
    </row>
    <row r="77" ht="13.5" thickTop="1"/>
    <row r="80" spans="1:7" ht="12.75">
      <c r="A80" t="s">
        <v>87</v>
      </c>
      <c r="B80" s="55">
        <f>+H3</f>
        <v>39120</v>
      </c>
      <c r="G80" t="s">
        <v>56</v>
      </c>
    </row>
  </sheetData>
  <mergeCells count="1">
    <mergeCell ref="A55:H5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r:id="rId1"/>
  <headerFooter alignWithMargins="0">
    <oddHeader>&amp;C
</oddHeader>
    <oddFooter>&amp;LMAPAQ, Centre-du-Québec&amp;C6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50"/>
  <sheetViews>
    <sheetView workbookViewId="0" topLeftCell="A1">
      <selection activeCell="A1" sqref="A1"/>
    </sheetView>
  </sheetViews>
  <sheetFormatPr defaultColWidth="11.421875" defaultRowHeight="12.75"/>
  <cols>
    <col min="4" max="5" width="10.7109375" style="0" customWidth="1"/>
  </cols>
  <sheetData>
    <row r="1" spans="2:7" ht="15.75">
      <c r="B1" s="24" t="s">
        <v>110</v>
      </c>
      <c r="E1" s="2"/>
      <c r="F1" s="2"/>
      <c r="G1" s="2"/>
    </row>
    <row r="3" spans="2:8" ht="14.25">
      <c r="B3" s="8" t="s">
        <v>0</v>
      </c>
      <c r="D3" s="61"/>
      <c r="H3" s="29">
        <v>39120</v>
      </c>
    </row>
    <row r="4" ht="12.75">
      <c r="B4" s="9" t="s">
        <v>1</v>
      </c>
    </row>
    <row r="5" ht="12.75">
      <c r="B5" s="14" t="s">
        <v>77</v>
      </c>
    </row>
    <row r="7" spans="1:8" ht="12.75">
      <c r="A7" s="15" t="s">
        <v>2</v>
      </c>
      <c r="B7" s="1"/>
      <c r="C7" s="15" t="s">
        <v>3</v>
      </c>
      <c r="D7" s="15" t="s">
        <v>4</v>
      </c>
      <c r="E7" s="15" t="s">
        <v>5</v>
      </c>
      <c r="F7" s="4" t="s">
        <v>6</v>
      </c>
      <c r="G7" s="15" t="s">
        <v>7</v>
      </c>
      <c r="H7" s="3" t="s">
        <v>8</v>
      </c>
    </row>
    <row r="8" spans="3:8" ht="12.75">
      <c r="C8" s="1"/>
      <c r="D8" s="1"/>
      <c r="E8" s="1"/>
      <c r="F8" s="15" t="s">
        <v>9</v>
      </c>
      <c r="G8" s="1"/>
      <c r="H8" s="16" t="s">
        <v>10</v>
      </c>
    </row>
    <row r="9" spans="1:8" ht="12.75">
      <c r="A9" s="8" t="s">
        <v>11</v>
      </c>
      <c r="C9" s="27"/>
      <c r="D9" s="1"/>
      <c r="E9" s="1"/>
      <c r="F9" s="3"/>
      <c r="G9" s="1"/>
      <c r="H9" s="4"/>
    </row>
    <row r="10" spans="1:8" ht="12.75">
      <c r="A10" s="18" t="s">
        <v>12</v>
      </c>
      <c r="B10" s="1"/>
      <c r="C10" s="39">
        <v>3000</v>
      </c>
      <c r="D10" s="5">
        <v>126</v>
      </c>
      <c r="E10" s="34">
        <v>1000</v>
      </c>
      <c r="F10" s="5">
        <v>378</v>
      </c>
      <c r="G10" s="5">
        <f>+F10</f>
        <v>378</v>
      </c>
      <c r="H10" s="7">
        <f>C10*D10/E10</f>
        <v>378</v>
      </c>
    </row>
    <row r="11" spans="1:8" ht="12.75">
      <c r="A11" s="30" t="s">
        <v>107</v>
      </c>
      <c r="B11" s="1"/>
      <c r="C11" s="40">
        <v>3200</v>
      </c>
      <c r="D11" s="5">
        <v>131.67</v>
      </c>
      <c r="E11" s="34">
        <v>1000</v>
      </c>
      <c r="F11" s="5">
        <v>421.34</v>
      </c>
      <c r="G11" s="5">
        <f>+F11</f>
        <v>421.34</v>
      </c>
      <c r="H11" s="7">
        <v>421.34</v>
      </c>
    </row>
    <row r="12" spans="1:8" ht="12.75">
      <c r="A12" s="26" t="s">
        <v>43</v>
      </c>
      <c r="B12" s="1"/>
      <c r="C12" s="40">
        <v>125</v>
      </c>
      <c r="D12" s="5">
        <v>0.9</v>
      </c>
      <c r="E12" s="34">
        <v>1</v>
      </c>
      <c r="F12" s="5">
        <v>112.5</v>
      </c>
      <c r="G12" s="5">
        <f>+F12</f>
        <v>112.5</v>
      </c>
      <c r="H12" s="7">
        <f>C12*D12/E12</f>
        <v>112.5</v>
      </c>
    </row>
    <row r="13" spans="1:8" ht="12.75">
      <c r="A13" s="26" t="s">
        <v>13</v>
      </c>
      <c r="B13" s="1"/>
      <c r="C13" s="25"/>
      <c r="D13" s="5">
        <f>D10+D11</f>
        <v>257.66999999999996</v>
      </c>
      <c r="F13" s="5">
        <f>SUM(F10:F12)</f>
        <v>911.8399999999999</v>
      </c>
      <c r="G13" s="5">
        <f>SUM(G10:G12)</f>
        <v>911.8399999999999</v>
      </c>
      <c r="H13" s="7">
        <f>SUM(H10:H12)</f>
        <v>911.8399999999999</v>
      </c>
    </row>
    <row r="14" spans="1:8" ht="12.75">
      <c r="A14" s="8" t="s">
        <v>14</v>
      </c>
      <c r="F14" s="5"/>
      <c r="G14" s="5"/>
      <c r="H14" s="5"/>
    </row>
    <row r="15" spans="1:7" ht="12.75">
      <c r="A15" s="11" t="s">
        <v>15</v>
      </c>
      <c r="F15" s="5"/>
      <c r="G15" s="5"/>
    </row>
    <row r="16" spans="1:8" ht="12.75">
      <c r="A16" s="30" t="s">
        <v>62</v>
      </c>
      <c r="C16" s="34">
        <v>150</v>
      </c>
      <c r="D16" s="5">
        <v>18.25</v>
      </c>
      <c r="E16" s="34">
        <v>40</v>
      </c>
      <c r="F16" s="5">
        <v>68.44</v>
      </c>
      <c r="G16" s="5">
        <f>+F16</f>
        <v>68.44</v>
      </c>
      <c r="H16" s="5">
        <f>C16*D16/E16</f>
        <v>68.4375</v>
      </c>
    </row>
    <row r="17" spans="1:8" ht="12.75">
      <c r="A17" s="9" t="s">
        <v>17</v>
      </c>
      <c r="C17" s="34"/>
      <c r="D17" s="5"/>
      <c r="F17" s="5"/>
      <c r="G17" s="5"/>
      <c r="H17" s="5"/>
    </row>
    <row r="18" spans="1:8" ht="12.75">
      <c r="A18" s="9" t="s">
        <v>58</v>
      </c>
      <c r="C18" s="34">
        <v>200</v>
      </c>
      <c r="D18" s="5">
        <v>486.79</v>
      </c>
      <c r="E18" s="34">
        <v>1000</v>
      </c>
      <c r="F18" s="5">
        <v>97.36</v>
      </c>
      <c r="G18" s="5">
        <f>+F18</f>
        <v>97.36</v>
      </c>
      <c r="H18" s="5">
        <f>C18*D18/E18</f>
        <v>97.358</v>
      </c>
    </row>
    <row r="19" spans="1:8" ht="12.75">
      <c r="A19" t="s">
        <v>18</v>
      </c>
      <c r="C19" s="34">
        <v>0.3</v>
      </c>
      <c r="D19" s="5">
        <v>29</v>
      </c>
      <c r="E19" s="34">
        <v>1</v>
      </c>
      <c r="F19" s="5">
        <v>8.7</v>
      </c>
      <c r="G19" s="5">
        <f>+F19</f>
        <v>8.7</v>
      </c>
      <c r="H19" s="5">
        <f>C19*D19/E19</f>
        <v>8.7</v>
      </c>
    </row>
    <row r="20" spans="1:8" ht="12.75">
      <c r="A20" s="9" t="s">
        <v>19</v>
      </c>
      <c r="C20" s="47">
        <v>1.1</v>
      </c>
      <c r="D20" s="5">
        <v>76.85</v>
      </c>
      <c r="E20" s="34">
        <v>10</v>
      </c>
      <c r="F20" s="5">
        <v>8.45</v>
      </c>
      <c r="G20" s="5">
        <f>+F20</f>
        <v>8.45</v>
      </c>
      <c r="H20" s="5">
        <f>C20*D20/E20</f>
        <v>8.4535</v>
      </c>
    </row>
    <row r="21" spans="2:8" ht="12.75">
      <c r="B21" t="s">
        <v>20</v>
      </c>
      <c r="F21" s="28">
        <f>SUM(F16:F20)</f>
        <v>182.95</v>
      </c>
      <c r="G21" s="6">
        <f>+F21</f>
        <v>182.95</v>
      </c>
      <c r="H21" s="10">
        <f>SUM(H16:H20)</f>
        <v>182.94899999999998</v>
      </c>
    </row>
    <row r="22" spans="1:8" ht="12.75">
      <c r="A22" s="11" t="s">
        <v>21</v>
      </c>
      <c r="F22" s="15" t="s">
        <v>22</v>
      </c>
      <c r="G22" s="33" t="s">
        <v>23</v>
      </c>
      <c r="H22" s="5"/>
    </row>
    <row r="23" spans="1:8" ht="12.75">
      <c r="A23" s="9" t="s">
        <v>24</v>
      </c>
      <c r="F23" s="5">
        <v>72.01</v>
      </c>
      <c r="G23" s="5">
        <v>25.15</v>
      </c>
      <c r="H23" s="12">
        <v>0</v>
      </c>
    </row>
    <row r="24" spans="1:8" ht="12.75">
      <c r="A24" t="s">
        <v>63</v>
      </c>
      <c r="F24" s="5">
        <v>17.37</v>
      </c>
      <c r="G24" s="5">
        <v>6.26</v>
      </c>
      <c r="H24" s="5">
        <v>0</v>
      </c>
    </row>
    <row r="25" spans="1:8" ht="12.75">
      <c r="A25" t="s">
        <v>64</v>
      </c>
      <c r="F25" s="5">
        <v>16.92</v>
      </c>
      <c r="G25" s="5">
        <v>5.48</v>
      </c>
      <c r="H25" s="5">
        <v>0</v>
      </c>
    </row>
    <row r="26" spans="1:8" ht="12.75">
      <c r="A26" s="9" t="s">
        <v>65</v>
      </c>
      <c r="F26" s="5">
        <v>3.9</v>
      </c>
      <c r="G26" s="5">
        <v>0.73</v>
      </c>
      <c r="H26" s="5">
        <f>+G26</f>
        <v>0.73</v>
      </c>
    </row>
    <row r="27" spans="1:8" ht="12.75">
      <c r="A27" s="9" t="s">
        <v>104</v>
      </c>
      <c r="F27" s="5">
        <v>57.86</v>
      </c>
      <c r="G27" s="5">
        <v>14.26</v>
      </c>
      <c r="H27" s="5">
        <f>+G27</f>
        <v>14.26</v>
      </c>
    </row>
    <row r="28" spans="1:8" ht="12.75">
      <c r="A28" s="9" t="s">
        <v>66</v>
      </c>
      <c r="F28" s="5">
        <v>11.79</v>
      </c>
      <c r="G28" s="5">
        <v>2.38</v>
      </c>
      <c r="H28" s="5">
        <f>+G28</f>
        <v>2.38</v>
      </c>
    </row>
    <row r="29" spans="1:8" ht="12.75">
      <c r="A29" t="s">
        <v>67</v>
      </c>
      <c r="F29" s="5">
        <v>73.79</v>
      </c>
      <c r="G29" s="5">
        <v>19.44</v>
      </c>
      <c r="H29" s="5">
        <v>18.06</v>
      </c>
    </row>
    <row r="30" spans="1:8" ht="12.75">
      <c r="A30" t="s">
        <v>73</v>
      </c>
      <c r="F30" s="5">
        <v>15.16</v>
      </c>
      <c r="G30" s="5">
        <v>4.54</v>
      </c>
      <c r="H30" s="5">
        <f>+G30</f>
        <v>4.54</v>
      </c>
    </row>
    <row r="31" spans="1:8" ht="12.75">
      <c r="A31" t="s">
        <v>26</v>
      </c>
      <c r="F31" s="28">
        <f>SUM(F23:F30)</f>
        <v>268.8</v>
      </c>
      <c r="G31" s="28">
        <f>SUM(G23:G30)</f>
        <v>78.24000000000001</v>
      </c>
      <c r="H31" s="13">
        <f>SUM(H23:H30)</f>
        <v>39.97</v>
      </c>
    </row>
    <row r="32" ht="12.75">
      <c r="A32" s="11" t="s">
        <v>27</v>
      </c>
    </row>
    <row r="33" spans="1:9" ht="12.75">
      <c r="A33" s="9" t="s">
        <v>28</v>
      </c>
      <c r="C33">
        <f>+C10</f>
        <v>3000</v>
      </c>
      <c r="D33" s="5">
        <v>3.89</v>
      </c>
      <c r="E33">
        <v>1000</v>
      </c>
      <c r="F33" s="5">
        <f>C33*I33/E33</f>
        <v>44.85</v>
      </c>
      <c r="G33" s="5">
        <f>+H33</f>
        <v>11.67</v>
      </c>
      <c r="H33" s="5">
        <f>C33*D33/E33</f>
        <v>11.67</v>
      </c>
      <c r="I33" s="34">
        <v>14.95</v>
      </c>
    </row>
    <row r="34" spans="1:9" ht="12.75">
      <c r="A34" t="s">
        <v>71</v>
      </c>
      <c r="C34">
        <f>+C10</f>
        <v>3000</v>
      </c>
      <c r="D34" s="5">
        <v>2.55</v>
      </c>
      <c r="E34">
        <v>1000</v>
      </c>
      <c r="F34" s="5">
        <f>C34*I34/E34</f>
        <v>36.42</v>
      </c>
      <c r="G34" s="5">
        <f>C34*D34/E34</f>
        <v>7.6499999999999995</v>
      </c>
      <c r="H34" s="5">
        <f>C34*D34/E34</f>
        <v>7.6499999999999995</v>
      </c>
      <c r="I34" s="35">
        <v>12.14</v>
      </c>
    </row>
    <row r="35" spans="2:9" ht="12.75">
      <c r="B35" s="49" t="s">
        <v>74</v>
      </c>
      <c r="C35">
        <f>C10</f>
        <v>3000</v>
      </c>
      <c r="D35" s="5">
        <v>9.5</v>
      </c>
      <c r="E35">
        <v>1000</v>
      </c>
      <c r="F35" s="5">
        <v>29.45</v>
      </c>
      <c r="G35" s="5">
        <f>C35*D35/E35</f>
        <v>28.5</v>
      </c>
      <c r="H35" s="5">
        <f>C35*D35/E35</f>
        <v>28.5</v>
      </c>
      <c r="I35" s="36">
        <v>8</v>
      </c>
    </row>
    <row r="36" spans="1:8" ht="12.75">
      <c r="A36" s="9" t="s">
        <v>30</v>
      </c>
      <c r="F36" s="6">
        <f>SUM(F33:F35)</f>
        <v>110.72000000000001</v>
      </c>
      <c r="G36" s="6">
        <f>SUM(G33:G35)</f>
        <v>47.82</v>
      </c>
      <c r="H36" s="6">
        <f>SUM(H33:H35)</f>
        <v>47.82</v>
      </c>
    </row>
    <row r="37" ht="12.75">
      <c r="A37" s="17" t="s">
        <v>31</v>
      </c>
    </row>
    <row r="38" spans="1:8" ht="12.75">
      <c r="A38" s="9" t="s">
        <v>93</v>
      </c>
      <c r="C38">
        <f>C10</f>
        <v>3000</v>
      </c>
      <c r="D38" s="5">
        <v>203</v>
      </c>
      <c r="E38" s="44">
        <v>0.0432</v>
      </c>
      <c r="F38" s="5">
        <v>22.36</v>
      </c>
      <c r="G38" s="5">
        <f>+F38</f>
        <v>22.36</v>
      </c>
      <c r="H38" s="5">
        <f>C38/1000*0.85*D38*E38</f>
        <v>22.36248</v>
      </c>
    </row>
    <row r="39" spans="1:8" ht="12.75">
      <c r="A39" t="s">
        <v>106</v>
      </c>
      <c r="D39" s="5"/>
      <c r="F39" s="5">
        <v>142.73</v>
      </c>
      <c r="G39" s="5">
        <f>+F39</f>
        <v>142.73</v>
      </c>
      <c r="H39" s="5">
        <v>142.73</v>
      </c>
    </row>
    <row r="40" spans="1:8" ht="12.75">
      <c r="A40" t="s">
        <v>32</v>
      </c>
      <c r="C40">
        <f>C10</f>
        <v>3000</v>
      </c>
      <c r="D40" s="5">
        <f>0.95+0.45</f>
        <v>1.4</v>
      </c>
      <c r="E40">
        <v>1000</v>
      </c>
      <c r="F40" s="5">
        <v>4.2</v>
      </c>
      <c r="G40" s="5">
        <f>+F40</f>
        <v>4.2</v>
      </c>
      <c r="H40" s="5">
        <f>C10*D40/E40</f>
        <v>4.2</v>
      </c>
    </row>
    <row r="41" spans="1:8" ht="12.75">
      <c r="A41" t="s">
        <v>33</v>
      </c>
      <c r="C41">
        <v>5</v>
      </c>
      <c r="D41" s="5">
        <v>13</v>
      </c>
      <c r="E41">
        <v>1</v>
      </c>
      <c r="F41" s="5">
        <v>0</v>
      </c>
      <c r="G41" s="5">
        <f>+H41</f>
        <v>65</v>
      </c>
      <c r="H41" s="5">
        <f>C41*D41/E41</f>
        <v>65</v>
      </c>
    </row>
    <row r="42" spans="1:8" ht="12.75">
      <c r="A42" s="9" t="s">
        <v>48</v>
      </c>
      <c r="F42" s="5">
        <f>4000*0.03</f>
        <v>120</v>
      </c>
      <c r="G42" s="5">
        <v>0</v>
      </c>
      <c r="H42" s="5">
        <v>0</v>
      </c>
    </row>
    <row r="43" spans="1:8" ht="12.75">
      <c r="A43" s="9" t="s">
        <v>49</v>
      </c>
      <c r="F43" s="5">
        <f>4000*0.925/100</f>
        <v>37</v>
      </c>
      <c r="G43" s="5">
        <f>4000*0.925/100</f>
        <v>37</v>
      </c>
      <c r="H43" s="5">
        <f>4000*0.925/100</f>
        <v>37</v>
      </c>
    </row>
    <row r="44" spans="1:8" ht="12.75">
      <c r="A44" t="s">
        <v>34</v>
      </c>
      <c r="C44" s="20">
        <f>H21+H31+H36+SUM(H38:H43)</f>
        <v>542.0314799999999</v>
      </c>
      <c r="D44" s="44">
        <v>0.075</v>
      </c>
      <c r="E44" s="34">
        <v>9</v>
      </c>
      <c r="F44" s="5">
        <v>30.49</v>
      </c>
      <c r="G44" s="5">
        <f>+F44</f>
        <v>30.49</v>
      </c>
      <c r="H44" s="5">
        <f>C44*D44*E44/12</f>
        <v>30.489270749999992</v>
      </c>
    </row>
    <row r="45" spans="1:8" ht="12.75">
      <c r="A45" t="s">
        <v>35</v>
      </c>
      <c r="E45" s="34" t="s">
        <v>44</v>
      </c>
      <c r="F45" s="5">
        <f>SUM(F38:F44)</f>
        <v>356.78</v>
      </c>
      <c r="G45" s="5">
        <f>SUM(G38:G44)</f>
        <v>301.78</v>
      </c>
      <c r="H45" s="5">
        <f>SUM(H38:H44)</f>
        <v>301.78175074999996</v>
      </c>
    </row>
    <row r="46" spans="6:8" ht="12.75">
      <c r="F46" s="5"/>
      <c r="G46" s="5"/>
      <c r="H46" s="5"/>
    </row>
    <row r="47" spans="1:8" ht="13.5" thickBot="1">
      <c r="A47" s="9" t="s">
        <v>36</v>
      </c>
      <c r="F47" s="5">
        <f>F21+F31+F36+F45</f>
        <v>919.25</v>
      </c>
      <c r="G47" s="5">
        <f>G21+G31+G36+G45</f>
        <v>610.79</v>
      </c>
      <c r="H47" s="5">
        <f>H21+H31+H36+H45</f>
        <v>572.5207507499999</v>
      </c>
    </row>
    <row r="48" spans="1:8" ht="13.5" thickBot="1">
      <c r="A48" s="8" t="s">
        <v>37</v>
      </c>
      <c r="F48" s="19">
        <f>F13-F47</f>
        <v>-7.410000000000082</v>
      </c>
      <c r="G48" s="19">
        <f>G13-G47</f>
        <v>301.04999999999995</v>
      </c>
      <c r="H48" s="22">
        <f>H13-H47</f>
        <v>339.31924925</v>
      </c>
    </row>
    <row r="49" spans="6:8" ht="12.75">
      <c r="F49" s="5"/>
      <c r="G49" s="5"/>
      <c r="H49" s="5"/>
    </row>
    <row r="50" spans="1:8" ht="12.75">
      <c r="A50" t="s">
        <v>38</v>
      </c>
      <c r="F50" s="5"/>
      <c r="G50" s="5"/>
      <c r="H50" s="21">
        <f>H47/(C10/1000)</f>
        <v>190.84025024999997</v>
      </c>
    </row>
  </sheetData>
  <printOptions/>
  <pageMargins left="0.75" right="0.75" top="1" bottom="1" header="0.4921259845" footer="0.4921259845"/>
  <pageSetup horizontalDpi="600" verticalDpi="600" orientation="portrait" r:id="rId1"/>
  <headerFooter alignWithMargins="0">
    <oddFooter>&amp;C7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BUREAU  REGIONAL</dc:creator>
  <cp:keywords/>
  <dc:description/>
  <cp:lastModifiedBy>Gaétan Bonneau</cp:lastModifiedBy>
  <cp:lastPrinted>2007-02-07T13:49:43Z</cp:lastPrinted>
  <dcterms:created xsi:type="dcterms:W3CDTF">1998-03-03T15:51:14Z</dcterms:created>
  <dcterms:modified xsi:type="dcterms:W3CDTF">2007-02-15T18:47:32Z</dcterms:modified>
  <cp:category/>
  <cp:version/>
  <cp:contentType/>
  <cp:contentStatus/>
</cp:coreProperties>
</file>