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P:\Archive Cecpa\Secrétariat corpo\Analyses-ECP\Site Internet\Études\Études de coût de production\Excel\2021\"/>
    </mc:Choice>
  </mc:AlternateContent>
  <xr:revisionPtr revIDLastSave="0" documentId="13_ncr:1_{6D20244D-9286-43A9-9065-F9917B31C0EB}" xr6:coauthVersionLast="47" xr6:coauthVersionMax="47" xr10:uidLastSave="{00000000-0000-0000-0000-000000000000}"/>
  <bookViews>
    <workbookView xWindow="-120" yWindow="-120" windowWidth="29040" windowHeight="15840" activeTab="3" xr2:uid="{00000000-000D-0000-FFFF-FFFF00000000}"/>
  </bookViews>
  <sheets>
    <sheet name="Instructions" sheetId="1" r:id="rId1"/>
    <sheet name="ECP2017" sheetId="8" r:id="rId2"/>
    <sheet name="Comparaison" sheetId="3" r:id="rId3"/>
    <sheet name="Définitions" sheetId="4" r:id="rId4"/>
    <sheet name="Coef+Ind" sheetId="6" state="hidden" r:id="rId5"/>
    <sheet name="Lég_Choix"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40" i="6" l="1"/>
  <c r="AE227" i="6"/>
  <c r="AK228" i="6"/>
  <c r="AJ205" i="6" l="1"/>
  <c r="AJ200" i="6"/>
  <c r="AJ199" i="6"/>
  <c r="AK198" i="6"/>
  <c r="AJ179" i="6"/>
  <c r="AJ178" i="6"/>
  <c r="AJ168" i="6"/>
  <c r="AJ167" i="6"/>
  <c r="AJ165" i="6"/>
  <c r="AJ158" i="6"/>
  <c r="AJ146" i="6"/>
  <c r="AJ144" i="6"/>
  <c r="AJ142" i="6"/>
  <c r="AJ139" i="6"/>
  <c r="AJ134" i="6"/>
  <c r="AK123" i="6"/>
  <c r="AJ119" i="6"/>
  <c r="AJ118" i="6"/>
  <c r="AJ113" i="6"/>
  <c r="AJ86" i="6"/>
  <c r="AJ85" i="6"/>
  <c r="AJ93" i="6"/>
  <c r="AJ92" i="6"/>
  <c r="AJ87" i="6"/>
  <c r="AJ84" i="6"/>
  <c r="AJ83" i="6"/>
  <c r="AK59" i="6"/>
  <c r="AK58" i="6"/>
  <c r="AK54" i="6"/>
  <c r="AJ35" i="6"/>
  <c r="AK214" i="6"/>
  <c r="AJ211" i="6"/>
  <c r="AK219" i="6"/>
  <c r="AJ219" i="6"/>
  <c r="AJ218" i="6"/>
  <c r="AJ69" i="6"/>
  <c r="AJ49" i="6"/>
  <c r="AJ45" i="6"/>
  <c r="AJ47" i="6"/>
  <c r="AJ46" i="6"/>
  <c r="AJ50" i="6"/>
  <c r="AK34" i="6"/>
  <c r="AJ29" i="6"/>
  <c r="AJ28" i="6"/>
  <c r="AJ27" i="6"/>
  <c r="AJ19" i="6"/>
  <c r="AJ18" i="6"/>
  <c r="AJ15" i="6" l="1"/>
  <c r="AJ14" i="6"/>
  <c r="AJ13" i="6"/>
  <c r="AD173" i="6" l="1"/>
  <c r="AD176" i="6"/>
  <c r="AD172" i="6"/>
  <c r="AD175" i="6"/>
  <c r="AD102" i="6"/>
  <c r="AD105" i="6"/>
  <c r="AD103" i="6"/>
  <c r="AD104" i="6"/>
  <c r="AD106" i="6"/>
  <c r="AD97" i="6"/>
  <c r="AD64" i="6" l="1"/>
  <c r="AB7" i="6" l="1"/>
  <c r="AB6" i="6"/>
  <c r="AE235" i="6"/>
  <c r="AK234" i="6"/>
  <c r="AE234" i="6"/>
  <c r="AK235" i="6"/>
  <c r="AD227" i="6"/>
  <c r="AD211" i="6"/>
  <c r="AD205" i="6"/>
  <c r="AD200" i="6"/>
  <c r="AD199" i="6"/>
  <c r="AD198" i="6"/>
  <c r="AF161" i="6" l="1"/>
  <c r="AL223" i="6"/>
  <c r="AR125" i="6"/>
  <c r="AL175" i="6"/>
  <c r="AL161" i="6"/>
  <c r="AL134" i="6"/>
  <c r="AL104" i="6"/>
  <c r="AR86" i="6"/>
  <c r="AR74" i="6"/>
  <c r="AL97" i="6"/>
  <c r="AL34" i="6"/>
  <c r="AL17" i="6"/>
  <c r="AR152" i="6"/>
  <c r="AL174" i="6"/>
  <c r="AL160" i="6"/>
  <c r="AL125" i="6"/>
  <c r="AL113" i="6"/>
  <c r="AL103" i="6"/>
  <c r="AL59" i="6"/>
  <c r="AL4" i="6"/>
  <c r="AL227" i="6"/>
  <c r="AR135" i="6"/>
  <c r="AL173" i="6"/>
  <c r="AL152" i="6"/>
  <c r="AL106" i="6"/>
  <c r="AL58" i="6"/>
  <c r="AL172" i="6"/>
  <c r="AL151" i="6"/>
  <c r="AL105" i="6"/>
  <c r="AL162" i="6"/>
  <c r="AL159" i="6"/>
  <c r="AR47" i="6"/>
  <c r="AL135" i="6"/>
  <c r="AL40" i="6"/>
  <c r="AL198" i="6"/>
  <c r="AL102" i="6"/>
  <c r="AL98" i="6"/>
  <c r="AL54" i="6"/>
  <c r="AR17" i="6"/>
  <c r="AL177" i="6"/>
  <c r="AL176" i="6"/>
  <c r="AL228" i="6"/>
  <c r="AL123" i="6"/>
  <c r="AG152" i="6"/>
  <c r="AM176" i="6"/>
  <c r="AM172" i="6"/>
  <c r="AM162" i="6"/>
  <c r="AM151" i="6"/>
  <c r="AM135" i="6"/>
  <c r="AM105" i="6"/>
  <c r="AM98" i="6"/>
  <c r="AS47" i="6"/>
  <c r="AS17" i="6"/>
  <c r="AM223" i="6"/>
  <c r="AS125" i="6"/>
  <c r="AM175" i="6"/>
  <c r="AM161" i="6"/>
  <c r="AS152" i="6"/>
  <c r="AM174" i="6"/>
  <c r="AM160" i="6"/>
  <c r="AM125" i="6"/>
  <c r="AM113" i="6"/>
  <c r="AM103" i="6"/>
  <c r="AM59" i="6"/>
  <c r="AM4" i="6"/>
  <c r="AM227" i="6"/>
  <c r="AS135" i="6"/>
  <c r="AM198" i="6"/>
  <c r="AM177" i="6"/>
  <c r="AM173" i="6"/>
  <c r="AM159" i="6"/>
  <c r="AM152" i="6"/>
  <c r="AM106" i="6"/>
  <c r="AM102" i="6"/>
  <c r="AM58" i="6"/>
  <c r="AM54" i="6"/>
  <c r="AM40" i="6"/>
  <c r="AM34" i="6"/>
  <c r="AS74" i="6"/>
  <c r="AM104" i="6"/>
  <c r="AM17" i="6"/>
  <c r="AM134" i="6"/>
  <c r="AS86" i="6"/>
  <c r="AM97" i="6"/>
  <c r="AM228" i="6"/>
  <c r="AM123" i="6"/>
  <c r="AG17" i="6"/>
  <c r="AF35" i="6"/>
  <c r="AF74" i="6"/>
  <c r="AF86" i="6"/>
  <c r="AG227" i="6"/>
  <c r="AF227" i="6"/>
  <c r="AG124" i="6"/>
  <c r="AF125" i="6"/>
  <c r="AF135" i="6"/>
  <c r="AG161" i="6"/>
  <c r="AG35" i="6"/>
  <c r="AG74" i="6"/>
  <c r="AG86" i="6"/>
  <c r="AG125" i="6"/>
  <c r="AG135" i="6"/>
  <c r="AF47" i="6"/>
  <c r="AF151" i="6"/>
  <c r="AG47" i="6"/>
  <c r="AG151" i="6"/>
  <c r="AF152" i="6"/>
  <c r="AF17" i="6"/>
  <c r="AF124" i="6"/>
  <c r="AD179" i="6" l="1"/>
  <c r="AD178" i="6"/>
  <c r="AD168" i="6"/>
  <c r="AD167" i="6"/>
  <c r="AD166" i="6"/>
  <c r="AD165" i="6"/>
  <c r="AD158" i="6"/>
  <c r="AD146" i="6"/>
  <c r="AD144" i="6"/>
  <c r="AD119" i="6"/>
  <c r="AD118" i="6"/>
  <c r="AE98" i="6"/>
  <c r="AK86" i="6"/>
  <c r="AK47" i="6"/>
  <c r="AK74" i="6"/>
  <c r="AD50" i="6"/>
  <c r="AD45" i="6"/>
  <c r="AD49" i="6" s="1"/>
  <c r="AD46" i="6"/>
  <c r="AK35" i="6"/>
  <c r="AD34" i="6"/>
  <c r="AD98" i="6"/>
  <c r="AD92" i="6"/>
  <c r="AD85" i="6"/>
  <c r="AD87" i="6" s="1"/>
  <c r="AD83" i="6"/>
  <c r="AD84" i="6" s="1"/>
  <c r="AD69" i="6"/>
  <c r="AD59" i="6"/>
  <c r="AD58" i="6"/>
  <c r="AD54" i="6"/>
  <c r="V32" i="6"/>
  <c r="AD29" i="6"/>
  <c r="AD28" i="6"/>
  <c r="AD27" i="6"/>
  <c r="AD19" i="6"/>
  <c r="AD18" i="6"/>
  <c r="AD15" i="6"/>
  <c r="AD13" i="6"/>
  <c r="AD14" i="6" s="1"/>
  <c r="AM86" i="6" l="1"/>
  <c r="AL86" i="6"/>
  <c r="AM74" i="6"/>
  <c r="AL74" i="6"/>
  <c r="AM35" i="6"/>
  <c r="AL35" i="6"/>
  <c r="AM47" i="6"/>
  <c r="AL47" i="6"/>
  <c r="AQ35" i="6"/>
  <c r="AF98" i="6"/>
  <c r="AG98" i="6"/>
  <c r="V98" i="6"/>
  <c r="V31" i="6"/>
  <c r="V24" i="6"/>
  <c r="AS35" i="6" l="1"/>
  <c r="AR35" i="6"/>
  <c r="V73" i="6"/>
  <c r="V41" i="6"/>
  <c r="V55" i="6"/>
  <c r="V26" i="6" l="1"/>
  <c r="V19" i="6"/>
  <c r="W152" i="6"/>
  <c r="Y152" i="6" s="1"/>
  <c r="Q152" i="6"/>
  <c r="S152" i="6" s="1"/>
  <c r="AQ233" i="6"/>
  <c r="AK233" i="6"/>
  <c r="AE233" i="6"/>
  <c r="Q235" i="6"/>
  <c r="Q234" i="6"/>
  <c r="W235" i="6"/>
  <c r="W234" i="6"/>
  <c r="AS233" i="6" l="1"/>
  <c r="AR233" i="6"/>
  <c r="AL233" i="6"/>
  <c r="AM233" i="6"/>
  <c r="AG233" i="6"/>
  <c r="AF233" i="6"/>
  <c r="Q233" i="6"/>
  <c r="S233" i="6" s="1"/>
  <c r="W233" i="6"/>
  <c r="Y233" i="6" s="1"/>
  <c r="R152" i="6"/>
  <c r="X152" i="6"/>
  <c r="V227" i="6"/>
  <c r="W227" i="6"/>
  <c r="V211" i="6"/>
  <c r="V205" i="6"/>
  <c r="R233" i="6" l="1"/>
  <c r="X233" i="6"/>
  <c r="V200" i="6"/>
  <c r="V199" i="6"/>
  <c r="V198" i="6"/>
  <c r="V188" i="6"/>
  <c r="V179" i="6"/>
  <c r="V178" i="6"/>
  <c r="V168" i="6"/>
  <c r="V167" i="6"/>
  <c r="V165" i="6"/>
  <c r="V166" i="6"/>
  <c r="W166" i="6" s="1"/>
  <c r="AE166" i="6" s="1"/>
  <c r="V164" i="6"/>
  <c r="W162" i="6"/>
  <c r="V158" i="6"/>
  <c r="V141" i="6"/>
  <c r="V146" i="6"/>
  <c r="V144" i="6"/>
  <c r="V142" i="6"/>
  <c r="V139" i="6"/>
  <c r="X135" i="6"/>
  <c r="Y135" i="6"/>
  <c r="V134" i="6"/>
  <c r="X125" i="6"/>
  <c r="Y125" i="6"/>
  <c r="V124" i="6"/>
  <c r="V123" i="6"/>
  <c r="V119" i="6"/>
  <c r="V118" i="6"/>
  <c r="V113" i="6"/>
  <c r="V93" i="6"/>
  <c r="V92" i="6"/>
  <c r="V87" i="6"/>
  <c r="V85" i="6"/>
  <c r="V84" i="6"/>
  <c r="V83" i="6"/>
  <c r="V69" i="6"/>
  <c r="V59" i="6"/>
  <c r="V58" i="6"/>
  <c r="V54" i="6"/>
  <c r="V46" i="6"/>
  <c r="V50" i="6"/>
  <c r="V45" i="6"/>
  <c r="V49" i="6" s="1"/>
  <c r="V40" i="6"/>
  <c r="V34" i="6"/>
  <c r="V33" i="6"/>
  <c r="V29" i="6"/>
  <c r="V28" i="6"/>
  <c r="V27" i="6"/>
  <c r="V18" i="6"/>
  <c r="V14" i="6"/>
  <c r="V13" i="6"/>
  <c r="AG166" i="6" l="1"/>
  <c r="AF166" i="6"/>
  <c r="W218" i="6"/>
  <c r="W213" i="6"/>
  <c r="W212" i="6"/>
  <c r="W211" i="6"/>
  <c r="W205" i="6"/>
  <c r="W200" i="6"/>
  <c r="W199" i="6"/>
  <c r="W198" i="6"/>
  <c r="W197" i="6"/>
  <c r="Q196" i="6"/>
  <c r="W181" i="6"/>
  <c r="AE181" i="6" s="1"/>
  <c r="W179" i="6"/>
  <c r="W178" i="6"/>
  <c r="W168" i="6"/>
  <c r="W167" i="6"/>
  <c r="W165" i="6"/>
  <c r="W164" i="6"/>
  <c r="W163" i="6"/>
  <c r="W158" i="6"/>
  <c r="W146" i="6"/>
  <c r="W145" i="6"/>
  <c r="W144" i="6"/>
  <c r="W143" i="6"/>
  <c r="W142" i="6"/>
  <c r="W141" i="6"/>
  <c r="W140" i="6"/>
  <c r="W139" i="6"/>
  <c r="AD139" i="6" s="1"/>
  <c r="W134" i="6"/>
  <c r="W130" i="6"/>
  <c r="W129" i="6"/>
  <c r="AD129" i="6" s="1"/>
  <c r="W124" i="6"/>
  <c r="W123" i="6"/>
  <c r="W119" i="6"/>
  <c r="W118" i="6"/>
  <c r="W114" i="6"/>
  <c r="W113" i="6"/>
  <c r="AD113" i="6" s="1"/>
  <c r="W93" i="6"/>
  <c r="AD93" i="6" s="1"/>
  <c r="W92" i="6"/>
  <c r="W91" i="6"/>
  <c r="W87" i="6"/>
  <c r="W85" i="6"/>
  <c r="W84" i="6"/>
  <c r="W83" i="6"/>
  <c r="W79" i="6"/>
  <c r="AD79" i="6" s="1"/>
  <c r="W78" i="6"/>
  <c r="AD78" i="6" s="1"/>
  <c r="W73" i="6"/>
  <c r="AE73" i="6" s="1"/>
  <c r="W69" i="6"/>
  <c r="W65" i="6"/>
  <c r="AD65" i="6" s="1"/>
  <c r="W64" i="6"/>
  <c r="AE64" i="6" s="1"/>
  <c r="W63" i="6"/>
  <c r="W59" i="6"/>
  <c r="W58" i="6"/>
  <c r="W57" i="6"/>
  <c r="W56" i="6"/>
  <c r="AD56" i="6" s="1"/>
  <c r="W55" i="6"/>
  <c r="W54" i="6"/>
  <c r="W50" i="6"/>
  <c r="W49" i="6"/>
  <c r="W48" i="6"/>
  <c r="W46" i="6"/>
  <c r="W45" i="6"/>
  <c r="W41" i="6"/>
  <c r="AD41" i="6" s="1"/>
  <c r="W40" i="6"/>
  <c r="AD40" i="6" s="1"/>
  <c r="W36" i="6"/>
  <c r="W34" i="6"/>
  <c r="W33" i="6"/>
  <c r="W32" i="6"/>
  <c r="W31" i="6"/>
  <c r="W30" i="6"/>
  <c r="W29" i="6"/>
  <c r="W28" i="6"/>
  <c r="W27" i="6"/>
  <c r="W26" i="6"/>
  <c r="W25" i="6"/>
  <c r="AD25" i="6" s="1"/>
  <c r="W24" i="6"/>
  <c r="W19" i="6"/>
  <c r="W18" i="6"/>
  <c r="W15" i="6"/>
  <c r="W14" i="6"/>
  <c r="W13" i="6"/>
  <c r="Y13" i="6" s="1"/>
  <c r="W136" i="6" l="1"/>
  <c r="AD134" i="6"/>
  <c r="AE134" i="6" s="1"/>
  <c r="AD63" i="6"/>
  <c r="AE63" i="6" s="1"/>
  <c r="AD163" i="6"/>
  <c r="AE163" i="6" s="1"/>
  <c r="W42" i="6"/>
  <c r="W37" i="6"/>
  <c r="W147" i="6"/>
  <c r="W126" i="6"/>
  <c r="X126" i="6" s="1"/>
  <c r="W120" i="6"/>
  <c r="AQ106" i="6"/>
  <c r="AQ105" i="6"/>
  <c r="AQ104" i="6"/>
  <c r="AQ103" i="6"/>
  <c r="AQ102" i="6"/>
  <c r="AE106" i="6"/>
  <c r="AE105" i="6"/>
  <c r="AE104" i="6"/>
  <c r="AE103" i="6"/>
  <c r="AE102" i="6"/>
  <c r="W106" i="6"/>
  <c r="Y106" i="6" s="1"/>
  <c r="W105" i="6"/>
  <c r="Y105" i="6" s="1"/>
  <c r="W104" i="6"/>
  <c r="Y104" i="6" s="1"/>
  <c r="W103" i="6"/>
  <c r="Y103" i="6" s="1"/>
  <c r="W102" i="6"/>
  <c r="Y102" i="6" s="1"/>
  <c r="AS103" i="6" l="1"/>
  <c r="AR103" i="6"/>
  <c r="AS102" i="6"/>
  <c r="AR102" i="6"/>
  <c r="AS105" i="6"/>
  <c r="AR105" i="6"/>
  <c r="AS104" i="6"/>
  <c r="AR104" i="6"/>
  <c r="AS106" i="6"/>
  <c r="AR106" i="6"/>
  <c r="AF106" i="6"/>
  <c r="AG106" i="6"/>
  <c r="AG103" i="6"/>
  <c r="AF103" i="6"/>
  <c r="AF102" i="6"/>
  <c r="AG102" i="6"/>
  <c r="AG104" i="6"/>
  <c r="AF104" i="6"/>
  <c r="AF105" i="6"/>
  <c r="AG105" i="6"/>
  <c r="I6" i="3"/>
  <c r="Q181" i="6" l="1"/>
  <c r="S181" i="6" s="1"/>
  <c r="Q172" i="6"/>
  <c r="S172" i="6" s="1"/>
  <c r="E159" i="6"/>
  <c r="P211" i="6"/>
  <c r="P227" i="6"/>
  <c r="Q227" i="6" s="1"/>
  <c r="S227" i="6" s="1"/>
  <c r="P205" i="6"/>
  <c r="P200" i="6"/>
  <c r="P199" i="6"/>
  <c r="P179" i="6"/>
  <c r="P178" i="6"/>
  <c r="P168" i="6"/>
  <c r="P167" i="6"/>
  <c r="P166" i="6"/>
  <c r="Q166" i="6" s="1"/>
  <c r="P165" i="6"/>
  <c r="Q161" i="6"/>
  <c r="P158" i="6"/>
  <c r="P146" i="6"/>
  <c r="P144" i="6"/>
  <c r="P142" i="6"/>
  <c r="P139" i="6"/>
  <c r="P134" i="6"/>
  <c r="P124" i="6"/>
  <c r="P123" i="6"/>
  <c r="P119" i="6"/>
  <c r="P118" i="6"/>
  <c r="P113" i="6"/>
  <c r="P93" i="6"/>
  <c r="P92" i="6"/>
  <c r="P87" i="6"/>
  <c r="P85" i="6"/>
  <c r="P84" i="6"/>
  <c r="P83" i="6"/>
  <c r="P69" i="6"/>
  <c r="P58" i="6"/>
  <c r="P59" i="6"/>
  <c r="P34" i="6"/>
  <c r="P49" i="6"/>
  <c r="P48" i="6"/>
  <c r="P45" i="6"/>
  <c r="P46" i="6"/>
  <c r="P50" i="6"/>
  <c r="P29" i="6"/>
  <c r="P28" i="6"/>
  <c r="P27" i="6"/>
  <c r="P19" i="6"/>
  <c r="P18" i="6"/>
  <c r="P15" i="6"/>
  <c r="P14" i="6"/>
  <c r="P13" i="6"/>
  <c r="Q13" i="6" s="1"/>
  <c r="W159" i="6" l="1"/>
  <c r="Y159" i="6" s="1"/>
  <c r="AD159" i="6"/>
  <c r="S161" i="6"/>
  <c r="AE159" i="6"/>
  <c r="E160" i="6"/>
  <c r="Q159" i="6"/>
  <c r="S159" i="6" s="1"/>
  <c r="AQ159" i="6"/>
  <c r="X159" i="6"/>
  <c r="E108" i="3"/>
  <c r="E135" i="3" s="1"/>
  <c r="E97" i="3"/>
  <c r="E94" i="3"/>
  <c r="AS159" i="6" l="1"/>
  <c r="AR159" i="6"/>
  <c r="AD160" i="6"/>
  <c r="AE160" i="6" s="1"/>
  <c r="AG159" i="6"/>
  <c r="AF159" i="6"/>
  <c r="Y161" i="6"/>
  <c r="E162" i="6"/>
  <c r="W160" i="6"/>
  <c r="AQ160" i="6"/>
  <c r="Q160" i="6"/>
  <c r="S160" i="6" s="1"/>
  <c r="R159" i="6"/>
  <c r="E84" i="3"/>
  <c r="AT231" i="6"/>
  <c r="AN231" i="6"/>
  <c r="AH231" i="6"/>
  <c r="Z231" i="6"/>
  <c r="T231" i="6"/>
  <c r="M231" i="6"/>
  <c r="L231" i="6"/>
  <c r="AT230" i="6"/>
  <c r="AN230" i="6"/>
  <c r="AH230" i="6"/>
  <c r="Z230" i="6"/>
  <c r="T230" i="6"/>
  <c r="M230" i="6"/>
  <c r="L230" i="6"/>
  <c r="I15" i="3"/>
  <c r="I17" i="3"/>
  <c r="I19" i="3"/>
  <c r="I25" i="3"/>
  <c r="I26" i="3"/>
  <c r="I27" i="3"/>
  <c r="I32" i="3"/>
  <c r="I33" i="3"/>
  <c r="E42" i="3"/>
  <c r="AS160" i="6" l="1"/>
  <c r="AR160" i="6"/>
  <c r="Y162" i="6"/>
  <c r="AD162" i="6"/>
  <c r="AE162" i="6" s="1"/>
  <c r="AF160" i="6"/>
  <c r="AG160" i="6"/>
  <c r="AQ162" i="6"/>
  <c r="X160" i="6"/>
  <c r="Y160" i="6"/>
  <c r="Q162" i="6"/>
  <c r="S162" i="6" s="1"/>
  <c r="R160" i="6"/>
  <c r="X162" i="6"/>
  <c r="G17" i="3"/>
  <c r="G254" i="6"/>
  <c r="G253" i="6"/>
  <c r="G252" i="6"/>
  <c r="G251" i="6"/>
  <c r="G250" i="6"/>
  <c r="G249" i="6"/>
  <c r="G19" i="3"/>
  <c r="G247" i="6"/>
  <c r="K25" i="3"/>
  <c r="G48" i="3"/>
  <c r="E50" i="3"/>
  <c r="AS162" i="6" l="1"/>
  <c r="AR162" i="6"/>
  <c r="AG162" i="6"/>
  <c r="AF162" i="6"/>
  <c r="R162" i="6"/>
  <c r="AQ161" i="6"/>
  <c r="G106" i="3"/>
  <c r="G139" i="3"/>
  <c r="G82" i="3"/>
  <c r="G80" i="3"/>
  <c r="G154" i="3"/>
  <c r="G101" i="3"/>
  <c r="G41" i="3"/>
  <c r="G49" i="3"/>
  <c r="G61" i="3"/>
  <c r="G92" i="3"/>
  <c r="G39" i="3"/>
  <c r="G40" i="3"/>
  <c r="K17" i="3"/>
  <c r="K33" i="3"/>
  <c r="K32" i="3"/>
  <c r="K27" i="3"/>
  <c r="K26" i="3"/>
  <c r="G33" i="3"/>
  <c r="G32" i="3"/>
  <c r="AS161" i="6" l="1"/>
  <c r="AR161" i="6"/>
  <c r="G84" i="3"/>
  <c r="K19" i="3"/>
  <c r="K15" i="3"/>
  <c r="I14" i="8"/>
  <c r="G13" i="8"/>
  <c r="AQ227" i="6" l="1"/>
  <c r="AQ223" i="6"/>
  <c r="AE223" i="6"/>
  <c r="W223" i="6"/>
  <c r="Y223" i="6" s="1"/>
  <c r="Q223" i="6"/>
  <c r="S223" i="6" s="1"/>
  <c r="Q205" i="6"/>
  <c r="Q150" i="6"/>
  <c r="AQ195" i="6"/>
  <c r="AQ194" i="6"/>
  <c r="AK195" i="6"/>
  <c r="AK194" i="6"/>
  <c r="AE195" i="6"/>
  <c r="AE194" i="6"/>
  <c r="W194" i="6"/>
  <c r="Y194" i="6" s="1"/>
  <c r="W195" i="6"/>
  <c r="Y195" i="6" s="1"/>
  <c r="Q200" i="6"/>
  <c r="Q199" i="6"/>
  <c r="Q198" i="6"/>
  <c r="S198" i="6" s="1"/>
  <c r="Q197" i="6"/>
  <c r="Q195" i="6"/>
  <c r="S195" i="6" s="1"/>
  <c r="Q194" i="6"/>
  <c r="S194" i="6" s="1"/>
  <c r="AQ189" i="6"/>
  <c r="AQ188" i="6"/>
  <c r="AQ187" i="6"/>
  <c r="AQ186" i="6"/>
  <c r="AQ185" i="6"/>
  <c r="AK189" i="6"/>
  <c r="AK188" i="6"/>
  <c r="AK187" i="6"/>
  <c r="AK186" i="6"/>
  <c r="AK185" i="6"/>
  <c r="AE189" i="6"/>
  <c r="AE188" i="6"/>
  <c r="AE187" i="6"/>
  <c r="AE186" i="6"/>
  <c r="AE185" i="6"/>
  <c r="W185" i="6"/>
  <c r="Y185" i="6" s="1"/>
  <c r="W189" i="6"/>
  <c r="Y189" i="6" s="1"/>
  <c r="W188" i="6"/>
  <c r="Y188" i="6" s="1"/>
  <c r="W187" i="6"/>
  <c r="Y187" i="6" s="1"/>
  <c r="W186" i="6"/>
  <c r="Y186" i="6" s="1"/>
  <c r="Q186" i="6"/>
  <c r="S186" i="6" s="1"/>
  <c r="Q187" i="6"/>
  <c r="Q188" i="6"/>
  <c r="S188" i="6" s="1"/>
  <c r="Q189" i="6"/>
  <c r="S189" i="6" s="1"/>
  <c r="Q185" i="6"/>
  <c r="AQ177" i="6"/>
  <c r="AQ176" i="6"/>
  <c r="AQ175" i="6"/>
  <c r="AQ174" i="6"/>
  <c r="AQ173" i="6"/>
  <c r="AQ172" i="6"/>
  <c r="AE177" i="6"/>
  <c r="AE176" i="6"/>
  <c r="AE175" i="6"/>
  <c r="AE174" i="6"/>
  <c r="AE173" i="6"/>
  <c r="AE172" i="6"/>
  <c r="W172" i="6"/>
  <c r="Y172" i="6" s="1"/>
  <c r="W177" i="6"/>
  <c r="Y177" i="6" s="1"/>
  <c r="W176" i="6"/>
  <c r="Y176" i="6" s="1"/>
  <c r="W175" i="6"/>
  <c r="Y175" i="6" s="1"/>
  <c r="W174" i="6"/>
  <c r="Y174" i="6" s="1"/>
  <c r="W173" i="6"/>
  <c r="Y173" i="6" s="1"/>
  <c r="Q180" i="6"/>
  <c r="S180" i="6" s="1"/>
  <c r="Q179" i="6"/>
  <c r="Q178" i="6"/>
  <c r="S178" i="6" s="1"/>
  <c r="Q173" i="6"/>
  <c r="Q174" i="6"/>
  <c r="S174" i="6" s="1"/>
  <c r="Q175" i="6"/>
  <c r="S175" i="6" s="1"/>
  <c r="Q176" i="6"/>
  <c r="S176" i="6" s="1"/>
  <c r="Q177" i="6"/>
  <c r="Q163" i="6"/>
  <c r="S163" i="6" s="1"/>
  <c r="Q164" i="6"/>
  <c r="S164" i="6" s="1"/>
  <c r="Q165" i="6"/>
  <c r="S165" i="6" s="1"/>
  <c r="Q167" i="6"/>
  <c r="Q168" i="6"/>
  <c r="S168" i="6" s="1"/>
  <c r="Q158" i="6"/>
  <c r="S158" i="6" s="1"/>
  <c r="Q139" i="6"/>
  <c r="S139" i="6" s="1"/>
  <c r="Q134" i="6"/>
  <c r="Q130" i="6"/>
  <c r="Q129" i="6"/>
  <c r="Q124" i="6"/>
  <c r="Q123" i="6"/>
  <c r="S123" i="6" s="1"/>
  <c r="Q118" i="6"/>
  <c r="AQ109" i="6"/>
  <c r="AQ108" i="6"/>
  <c r="AQ107" i="6"/>
  <c r="AK109" i="6"/>
  <c r="AK108" i="6"/>
  <c r="AK107" i="6"/>
  <c r="AE109" i="6"/>
  <c r="AE108" i="6"/>
  <c r="AE107" i="6"/>
  <c r="Q102" i="6"/>
  <c r="S102" i="6" s="1"/>
  <c r="AQ98" i="6"/>
  <c r="AQ97" i="6"/>
  <c r="AE97" i="6"/>
  <c r="W97" i="6"/>
  <c r="Y97" i="6" s="1"/>
  <c r="Q40" i="6"/>
  <c r="W109" i="6"/>
  <c r="Y109" i="6" s="1"/>
  <c r="W108" i="6"/>
  <c r="Y108" i="6" s="1"/>
  <c r="W107" i="6"/>
  <c r="Q109" i="6"/>
  <c r="S109" i="6" s="1"/>
  <c r="Q108" i="6"/>
  <c r="S108" i="6" s="1"/>
  <c r="Q107" i="6"/>
  <c r="S107" i="6" s="1"/>
  <c r="Q103" i="6"/>
  <c r="S103" i="6" s="1"/>
  <c r="Q104" i="6"/>
  <c r="S104" i="6" s="1"/>
  <c r="Q105" i="6"/>
  <c r="S105" i="6" s="1"/>
  <c r="Q106" i="6"/>
  <c r="S106" i="6" s="1"/>
  <c r="W98" i="6"/>
  <c r="Y98" i="6" s="1"/>
  <c r="Q98" i="6"/>
  <c r="S98" i="6" s="1"/>
  <c r="Q97" i="6"/>
  <c r="S97" i="6" s="1"/>
  <c r="Q113" i="6"/>
  <c r="Q114" i="6"/>
  <c r="S114" i="6" s="1"/>
  <c r="Q91" i="6"/>
  <c r="S91" i="6" s="1"/>
  <c r="Q83" i="6"/>
  <c r="Q92" i="6"/>
  <c r="S92" i="6" s="1"/>
  <c r="Q93" i="6"/>
  <c r="S93" i="6" s="1"/>
  <c r="Q218" i="6"/>
  <c r="Q213" i="6"/>
  <c r="Q212" i="6"/>
  <c r="S212" i="6" s="1"/>
  <c r="Q211" i="6"/>
  <c r="Q63" i="6"/>
  <c r="Q69" i="6"/>
  <c r="Q73" i="6"/>
  <c r="Q48" i="6"/>
  <c r="Q41" i="6"/>
  <c r="S41" i="6" s="1"/>
  <c r="Q32" i="6"/>
  <c r="Q24" i="6"/>
  <c r="S24" i="6" s="1"/>
  <c r="Q54" i="6"/>
  <c r="AR98" i="6" l="1"/>
  <c r="AS98" i="6"/>
  <c r="AS107" i="6"/>
  <c r="AR107" i="6"/>
  <c r="AS176" i="6"/>
  <c r="AR176" i="6"/>
  <c r="AS187" i="6"/>
  <c r="AR187" i="6"/>
  <c r="AS195" i="6"/>
  <c r="AR195" i="6"/>
  <c r="AS108" i="6"/>
  <c r="AR108" i="6"/>
  <c r="AS177" i="6"/>
  <c r="AR177" i="6"/>
  <c r="AM185" i="6"/>
  <c r="AL185" i="6"/>
  <c r="AS188" i="6"/>
  <c r="AR188" i="6"/>
  <c r="AS109" i="6"/>
  <c r="AR109" i="6"/>
  <c r="AM186" i="6"/>
  <c r="AL186" i="6"/>
  <c r="AS189" i="6"/>
  <c r="AR189" i="6"/>
  <c r="AM187" i="6"/>
  <c r="AL187" i="6"/>
  <c r="AS172" i="6"/>
  <c r="AR172" i="6"/>
  <c r="AM188" i="6"/>
  <c r="AL188" i="6"/>
  <c r="AM107" i="6"/>
  <c r="AL107" i="6"/>
  <c r="AS173" i="6"/>
  <c r="AR173" i="6"/>
  <c r="AM189" i="6"/>
  <c r="AL189" i="6"/>
  <c r="AM194" i="6"/>
  <c r="AL194" i="6"/>
  <c r="AL108" i="6"/>
  <c r="AM108" i="6"/>
  <c r="AS174" i="6"/>
  <c r="AR174" i="6"/>
  <c r="AS185" i="6"/>
  <c r="AR185" i="6"/>
  <c r="AM195" i="6"/>
  <c r="AL195" i="6"/>
  <c r="AS223" i="6"/>
  <c r="AR223" i="6"/>
  <c r="AS97" i="6"/>
  <c r="AR97" i="6"/>
  <c r="AM109" i="6"/>
  <c r="AL109" i="6"/>
  <c r="AS175" i="6"/>
  <c r="AR175" i="6"/>
  <c r="AS186" i="6"/>
  <c r="AR186" i="6"/>
  <c r="AS194" i="6"/>
  <c r="AR194" i="6"/>
  <c r="AS227" i="6"/>
  <c r="AR227" i="6"/>
  <c r="AG194" i="6"/>
  <c r="AF194" i="6"/>
  <c r="AG107" i="6"/>
  <c r="AF107" i="6"/>
  <c r="AF185" i="6"/>
  <c r="AG185" i="6"/>
  <c r="AG195" i="6"/>
  <c r="AF195" i="6"/>
  <c r="AG108" i="6"/>
  <c r="AF108" i="6"/>
  <c r="AG223" i="6"/>
  <c r="AF223" i="6"/>
  <c r="AG97" i="6"/>
  <c r="AF97" i="6"/>
  <c r="AF109" i="6"/>
  <c r="AG109" i="6"/>
  <c r="AG172" i="6"/>
  <c r="AF172" i="6"/>
  <c r="AG174" i="6"/>
  <c r="AF174" i="6"/>
  <c r="AG175" i="6"/>
  <c r="AF175" i="6"/>
  <c r="AF176" i="6"/>
  <c r="AG176" i="6"/>
  <c r="AG177" i="6"/>
  <c r="AF177" i="6"/>
  <c r="AG186" i="6"/>
  <c r="AF186" i="6"/>
  <c r="AF187" i="6"/>
  <c r="AG187" i="6"/>
  <c r="AG188" i="6"/>
  <c r="AF188" i="6"/>
  <c r="AG189" i="6"/>
  <c r="AF189" i="6"/>
  <c r="AG173" i="6"/>
  <c r="AF173" i="6"/>
  <c r="S40" i="6"/>
  <c r="Q42" i="6"/>
  <c r="S42" i="6" s="1"/>
  <c r="Y73" i="6"/>
  <c r="S73" i="6"/>
  <c r="Y113" i="6"/>
  <c r="S113" i="6"/>
  <c r="Y118" i="6"/>
  <c r="S118" i="6"/>
  <c r="Y130" i="6"/>
  <c r="S130" i="6"/>
  <c r="Y179" i="6"/>
  <c r="S179" i="6"/>
  <c r="Y199" i="6"/>
  <c r="S199" i="6"/>
  <c r="AQ224" i="6"/>
  <c r="Y32" i="6"/>
  <c r="S32" i="6"/>
  <c r="Y69" i="6"/>
  <c r="S69" i="6"/>
  <c r="Y213" i="6"/>
  <c r="S213" i="6"/>
  <c r="Y83" i="6"/>
  <c r="S83" i="6"/>
  <c r="Y134" i="6"/>
  <c r="S134" i="6"/>
  <c r="R167" i="6"/>
  <c r="S167" i="6"/>
  <c r="R187" i="6"/>
  <c r="S187" i="6"/>
  <c r="W196" i="6"/>
  <c r="Y196" i="6" s="1"/>
  <c r="S196" i="6"/>
  <c r="Y200" i="6"/>
  <c r="S200" i="6"/>
  <c r="X227" i="6"/>
  <c r="Y227" i="6"/>
  <c r="Y63" i="6"/>
  <c r="S63" i="6"/>
  <c r="X218" i="6"/>
  <c r="S218" i="6"/>
  <c r="Y124" i="6"/>
  <c r="S124" i="6"/>
  <c r="Y166" i="6"/>
  <c r="S166" i="6"/>
  <c r="R177" i="6"/>
  <c r="S177" i="6"/>
  <c r="R173" i="6"/>
  <c r="S173" i="6"/>
  <c r="R185" i="6"/>
  <c r="S185" i="6"/>
  <c r="Y197" i="6"/>
  <c r="S197" i="6"/>
  <c r="W150" i="6"/>
  <c r="Y150" i="6" s="1"/>
  <c r="S150" i="6"/>
  <c r="AE224" i="6"/>
  <c r="Y54" i="6"/>
  <c r="S54" i="6"/>
  <c r="Y48" i="6"/>
  <c r="S48" i="6"/>
  <c r="Y211" i="6"/>
  <c r="S211" i="6"/>
  <c r="X107" i="6"/>
  <c r="Y107" i="6"/>
  <c r="Y129" i="6"/>
  <c r="S129" i="6"/>
  <c r="Y205" i="6"/>
  <c r="S205" i="6"/>
  <c r="AK224" i="6"/>
  <c r="R165" i="6"/>
  <c r="R213" i="6"/>
  <c r="Q126" i="6"/>
  <c r="S126" i="6" s="1"/>
  <c r="R93" i="6"/>
  <c r="Q201" i="6"/>
  <c r="AE228" i="6"/>
  <c r="AE113" i="6"/>
  <c r="AE197" i="6"/>
  <c r="AE200" i="6"/>
  <c r="X213" i="6"/>
  <c r="X211" i="6"/>
  <c r="AE211" i="6"/>
  <c r="X199" i="6"/>
  <c r="AE199" i="6"/>
  <c r="R98" i="6"/>
  <c r="R109" i="6"/>
  <c r="R180" i="6"/>
  <c r="R174" i="6"/>
  <c r="X176" i="6"/>
  <c r="R188" i="6"/>
  <c r="X188" i="6"/>
  <c r="R200" i="6"/>
  <c r="X102" i="6"/>
  <c r="X106" i="6"/>
  <c r="X173" i="6"/>
  <c r="AE54" i="6"/>
  <c r="AJ54" i="6" s="1"/>
  <c r="AE69" i="6"/>
  <c r="Q131" i="6"/>
  <c r="S131" i="6" s="1"/>
  <c r="R166" i="6"/>
  <c r="X189" i="6"/>
  <c r="AQ228" i="6"/>
  <c r="X97" i="6"/>
  <c r="X103" i="6"/>
  <c r="X175" i="6"/>
  <c r="W99" i="6"/>
  <c r="Y99" i="6" s="1"/>
  <c r="R161" i="6"/>
  <c r="R179" i="6"/>
  <c r="X174" i="6"/>
  <c r="X172" i="6"/>
  <c r="X186" i="6"/>
  <c r="X185" i="6"/>
  <c r="X195" i="6"/>
  <c r="X223" i="6"/>
  <c r="X54" i="6"/>
  <c r="X98" i="6"/>
  <c r="X104" i="6"/>
  <c r="X177" i="6"/>
  <c r="AK99" i="6"/>
  <c r="R175" i="6"/>
  <c r="W180" i="6"/>
  <c r="X187" i="6"/>
  <c r="X194" i="6"/>
  <c r="W228" i="6"/>
  <c r="Y228" i="6" s="1"/>
  <c r="X105" i="6"/>
  <c r="AE48" i="6"/>
  <c r="AK48" i="6" s="1"/>
  <c r="Q215" i="6"/>
  <c r="S215" i="6" s="1"/>
  <c r="X108" i="6"/>
  <c r="Y40" i="6"/>
  <c r="R92" i="6"/>
  <c r="Y92" i="6"/>
  <c r="R108" i="6"/>
  <c r="R212" i="6"/>
  <c r="Y212" i="6"/>
  <c r="Q110" i="6"/>
  <c r="S110" i="6" s="1"/>
  <c r="Y41" i="6"/>
  <c r="R41" i="6"/>
  <c r="AQ99" i="6"/>
  <c r="R163" i="6"/>
  <c r="Y163" i="6"/>
  <c r="Q169" i="6"/>
  <c r="S169" i="6" s="1"/>
  <c r="Y181" i="6"/>
  <c r="R181" i="6"/>
  <c r="R199" i="6"/>
  <c r="Q94" i="6"/>
  <c r="S94" i="6" s="1"/>
  <c r="R178" i="6"/>
  <c r="Y178" i="6"/>
  <c r="Q182" i="6"/>
  <c r="S182" i="6" s="1"/>
  <c r="R189" i="6"/>
  <c r="Q191" i="6"/>
  <c r="S191" i="6" s="1"/>
  <c r="AE191" i="6"/>
  <c r="Q99" i="6"/>
  <c r="S99" i="6" s="1"/>
  <c r="Y91" i="6"/>
  <c r="W110" i="6"/>
  <c r="Y110" i="6" s="1"/>
  <c r="Y167" i="6"/>
  <c r="R176" i="6"/>
  <c r="W191" i="6"/>
  <c r="Y191" i="6" s="1"/>
  <c r="AK191" i="6"/>
  <c r="AE99" i="6"/>
  <c r="R168" i="6"/>
  <c r="Y168" i="6"/>
  <c r="R164" i="6"/>
  <c r="Y164" i="6"/>
  <c r="R186" i="6"/>
  <c r="AQ191" i="6"/>
  <c r="R172" i="6"/>
  <c r="AQ110" i="6"/>
  <c r="AK110" i="6"/>
  <c r="X109" i="6"/>
  <c r="R107" i="6"/>
  <c r="AS224" i="6" l="1"/>
  <c r="AR224" i="6"/>
  <c r="AM110" i="6"/>
  <c r="AL110" i="6"/>
  <c r="AS110" i="6"/>
  <c r="AR110" i="6"/>
  <c r="AM99" i="6"/>
  <c r="AL99" i="6"/>
  <c r="AM224" i="6"/>
  <c r="AL224" i="6"/>
  <c r="AM191" i="6"/>
  <c r="AL191" i="6"/>
  <c r="AL48" i="6"/>
  <c r="AM48" i="6"/>
  <c r="AS228" i="6"/>
  <c r="AR228" i="6"/>
  <c r="AS99" i="6"/>
  <c r="AR99" i="6"/>
  <c r="AS191" i="6"/>
  <c r="AR191" i="6"/>
  <c r="AF197" i="6"/>
  <c r="AG197" i="6"/>
  <c r="AG113" i="6"/>
  <c r="AF113" i="6"/>
  <c r="AG69" i="6"/>
  <c r="AF69" i="6"/>
  <c r="AG228" i="6"/>
  <c r="AF228" i="6"/>
  <c r="AG224" i="6"/>
  <c r="AF224" i="6"/>
  <c r="AG99" i="6"/>
  <c r="AF99" i="6"/>
  <c r="AG211" i="6"/>
  <c r="AF211" i="6"/>
  <c r="AG123" i="6"/>
  <c r="AF123" i="6"/>
  <c r="AE126" i="6"/>
  <c r="AG191" i="6"/>
  <c r="AF191" i="6"/>
  <c r="AG54" i="6"/>
  <c r="AF54" i="6"/>
  <c r="AF48" i="6"/>
  <c r="AG48" i="6"/>
  <c r="AG200" i="6"/>
  <c r="AF200" i="6"/>
  <c r="AF199" i="6"/>
  <c r="AG199" i="6"/>
  <c r="X69" i="6"/>
  <c r="X196" i="6"/>
  <c r="X197" i="6"/>
  <c r="X205" i="6"/>
  <c r="X83" i="6"/>
  <c r="X130" i="6"/>
  <c r="X113" i="6"/>
  <c r="X32" i="6"/>
  <c r="X118" i="6"/>
  <c r="X124" i="6"/>
  <c r="X63" i="6"/>
  <c r="W131" i="6"/>
  <c r="X73" i="6"/>
  <c r="W208" i="6"/>
  <c r="Y208" i="6" s="1"/>
  <c r="AE196" i="6"/>
  <c r="AE83" i="6"/>
  <c r="AE130" i="6"/>
  <c r="X166" i="6"/>
  <c r="AE180" i="6"/>
  <c r="Y180" i="6"/>
  <c r="AE93" i="6"/>
  <c r="Y93" i="6"/>
  <c r="R201" i="6"/>
  <c r="S201" i="6"/>
  <c r="AE179" i="6"/>
  <c r="AE118" i="6"/>
  <c r="X179" i="6"/>
  <c r="X134" i="6"/>
  <c r="X48" i="6"/>
  <c r="X150" i="6"/>
  <c r="X200" i="6"/>
  <c r="X129" i="6"/>
  <c r="AE165" i="6"/>
  <c r="Y165" i="6"/>
  <c r="AE129" i="6"/>
  <c r="AK69" i="6"/>
  <c r="AE213" i="6"/>
  <c r="X123" i="6"/>
  <c r="Y123" i="6"/>
  <c r="AE218" i="6"/>
  <c r="AK218" i="6" s="1"/>
  <c r="Y218" i="6"/>
  <c r="AE70" i="6"/>
  <c r="Y126" i="6"/>
  <c r="W182" i="6"/>
  <c r="X228" i="6"/>
  <c r="Q202" i="6"/>
  <c r="X161" i="6"/>
  <c r="X168" i="6"/>
  <c r="X191" i="6"/>
  <c r="X110" i="6"/>
  <c r="X163" i="6"/>
  <c r="X41" i="6"/>
  <c r="X212" i="6"/>
  <c r="AE212" i="6"/>
  <c r="X92" i="6"/>
  <c r="X180" i="6"/>
  <c r="W215" i="6"/>
  <c r="Y215" i="6" s="1"/>
  <c r="AK197" i="6"/>
  <c r="X164" i="6"/>
  <c r="X167" i="6"/>
  <c r="X91" i="6"/>
  <c r="X178" i="6"/>
  <c r="X40" i="6"/>
  <c r="X99" i="6"/>
  <c r="AK200" i="6"/>
  <c r="X181" i="6"/>
  <c r="X165" i="6"/>
  <c r="X93" i="6"/>
  <c r="AK199" i="6"/>
  <c r="AK211" i="6"/>
  <c r="AE168" i="6"/>
  <c r="AK166" i="6"/>
  <c r="AE91" i="6"/>
  <c r="W94" i="6"/>
  <c r="Y94" i="6" s="1"/>
  <c r="AE178" i="6"/>
  <c r="AE92" i="6"/>
  <c r="AE167" i="6"/>
  <c r="AE41" i="6"/>
  <c r="AE40" i="6"/>
  <c r="AJ40" i="6" s="1"/>
  <c r="Y42" i="6"/>
  <c r="R218" i="6"/>
  <c r="R215" i="6"/>
  <c r="R211" i="6"/>
  <c r="R198" i="6"/>
  <c r="R197" i="6"/>
  <c r="R196" i="6"/>
  <c r="R195" i="6"/>
  <c r="R194" i="6"/>
  <c r="R158" i="6"/>
  <c r="R139" i="6"/>
  <c r="R134" i="6"/>
  <c r="R131" i="6"/>
  <c r="R130" i="6"/>
  <c r="R129" i="6"/>
  <c r="R126" i="6"/>
  <c r="R124" i="6"/>
  <c r="R123" i="6"/>
  <c r="R118" i="6"/>
  <c r="R114" i="6"/>
  <c r="R113" i="6"/>
  <c r="R106" i="6"/>
  <c r="R105" i="6"/>
  <c r="R104" i="6"/>
  <c r="R103" i="6"/>
  <c r="R102" i="6"/>
  <c r="R99" i="6"/>
  <c r="R97" i="6"/>
  <c r="R91" i="6"/>
  <c r="R83" i="6"/>
  <c r="R73" i="6"/>
  <c r="R69" i="6"/>
  <c r="R63" i="6"/>
  <c r="R54" i="6"/>
  <c r="R48" i="6"/>
  <c r="R40" i="6"/>
  <c r="R32" i="6"/>
  <c r="R24" i="6"/>
  <c r="S13" i="6"/>
  <c r="Q64" i="6"/>
  <c r="S64" i="6" s="1"/>
  <c r="Q65" i="6"/>
  <c r="Q57" i="6"/>
  <c r="S57" i="6" s="1"/>
  <c r="Q58" i="6"/>
  <c r="S58" i="6" s="1"/>
  <c r="Q59" i="6"/>
  <c r="S59" i="6" s="1"/>
  <c r="Q46" i="6"/>
  <c r="Q49" i="6"/>
  <c r="Q50" i="6"/>
  <c r="Q28" i="6"/>
  <c r="Q29" i="6"/>
  <c r="Q30" i="6"/>
  <c r="Q31" i="6"/>
  <c r="Q33" i="6"/>
  <c r="Q34" i="6"/>
  <c r="Q36" i="6"/>
  <c r="Q15" i="6"/>
  <c r="Q18" i="6"/>
  <c r="S18" i="6" s="1"/>
  <c r="Q19" i="6"/>
  <c r="M21" i="6"/>
  <c r="L21" i="6"/>
  <c r="AM200" i="6" l="1"/>
  <c r="AL200" i="6"/>
  <c r="AM166" i="6"/>
  <c r="AL166" i="6"/>
  <c r="AL218" i="6"/>
  <c r="AM218" i="6"/>
  <c r="AK220" i="6"/>
  <c r="AL211" i="6"/>
  <c r="AM211" i="6"/>
  <c r="AM199" i="6"/>
  <c r="AL199" i="6"/>
  <c r="AM69" i="6"/>
  <c r="AL69" i="6"/>
  <c r="AM197" i="6"/>
  <c r="AL197" i="6"/>
  <c r="AE215" i="6"/>
  <c r="AG215" i="6"/>
  <c r="AF215" i="6"/>
  <c r="AG70" i="6"/>
  <c r="AF70" i="6"/>
  <c r="AF83" i="6"/>
  <c r="AG83" i="6"/>
  <c r="AF73" i="6"/>
  <c r="AG73" i="6"/>
  <c r="AE75" i="6"/>
  <c r="AG91" i="6"/>
  <c r="AF91" i="6"/>
  <c r="AF134" i="6"/>
  <c r="AG134" i="6"/>
  <c r="AG196" i="6"/>
  <c r="AF196" i="6"/>
  <c r="AG40" i="6"/>
  <c r="AF40" i="6"/>
  <c r="AG41" i="6"/>
  <c r="AF41" i="6"/>
  <c r="AF212" i="6"/>
  <c r="AG212" i="6"/>
  <c r="AG218" i="6"/>
  <c r="AE220" i="6"/>
  <c r="AF218" i="6"/>
  <c r="AG213" i="6"/>
  <c r="AF213" i="6"/>
  <c r="AF63" i="6"/>
  <c r="AG63" i="6"/>
  <c r="AG118" i="6"/>
  <c r="AF118" i="6"/>
  <c r="AG129" i="6"/>
  <c r="AF129" i="6"/>
  <c r="AG130" i="6"/>
  <c r="AF130" i="6"/>
  <c r="AG126" i="6"/>
  <c r="AF126" i="6"/>
  <c r="AG163" i="6"/>
  <c r="AF163" i="6"/>
  <c r="AF93" i="6"/>
  <c r="AG93" i="6"/>
  <c r="AG167" i="6"/>
  <c r="AF167" i="6"/>
  <c r="AG181" i="6"/>
  <c r="AF181" i="6"/>
  <c r="AG165" i="6"/>
  <c r="AF165" i="6"/>
  <c r="AG164" i="6"/>
  <c r="AF164" i="6"/>
  <c r="AF168" i="6"/>
  <c r="AG168" i="6"/>
  <c r="AG180" i="6"/>
  <c r="AF180" i="6"/>
  <c r="AG32" i="6"/>
  <c r="AF32" i="6"/>
  <c r="AG92" i="6"/>
  <c r="AF92" i="6"/>
  <c r="AG178" i="6"/>
  <c r="AF178" i="6"/>
  <c r="AG179" i="6"/>
  <c r="AF179" i="6"/>
  <c r="AE136" i="6"/>
  <c r="S202" i="6"/>
  <c r="T249" i="6"/>
  <c r="Y131" i="6"/>
  <c r="Z248" i="6"/>
  <c r="AK213" i="6"/>
  <c r="AK165" i="6"/>
  <c r="AE131" i="6"/>
  <c r="AK179" i="6"/>
  <c r="AQ113" i="6"/>
  <c r="AK124" i="6"/>
  <c r="AK73" i="6"/>
  <c r="AQ69" i="6"/>
  <c r="AK196" i="6"/>
  <c r="AK93" i="6"/>
  <c r="AQ54" i="6"/>
  <c r="X208" i="6"/>
  <c r="X131" i="6"/>
  <c r="AK32" i="6"/>
  <c r="AK83" i="6"/>
  <c r="AK130" i="6"/>
  <c r="Y36" i="6"/>
  <c r="S36" i="6"/>
  <c r="Y30" i="6"/>
  <c r="S30" i="6"/>
  <c r="Y49" i="6"/>
  <c r="S49" i="6"/>
  <c r="Y19" i="6"/>
  <c r="S19" i="6"/>
  <c r="Y34" i="6"/>
  <c r="S34" i="6"/>
  <c r="Y29" i="6"/>
  <c r="S29" i="6"/>
  <c r="Y46" i="6"/>
  <c r="S46" i="6"/>
  <c r="Y65" i="6"/>
  <c r="S65" i="6"/>
  <c r="AQ123" i="6"/>
  <c r="Y33" i="6"/>
  <c r="S33" i="6"/>
  <c r="Y28" i="6"/>
  <c r="S28" i="6"/>
  <c r="AK180" i="6"/>
  <c r="AK70" i="6"/>
  <c r="AK129" i="6"/>
  <c r="Y15" i="6"/>
  <c r="S15" i="6"/>
  <c r="Y31" i="6"/>
  <c r="S31" i="6"/>
  <c r="Y50" i="6"/>
  <c r="S50" i="6"/>
  <c r="AK118" i="6"/>
  <c r="AK63" i="6"/>
  <c r="X182" i="6"/>
  <c r="Y182" i="6"/>
  <c r="R15" i="6"/>
  <c r="R50" i="6"/>
  <c r="R33" i="6"/>
  <c r="X30" i="6"/>
  <c r="AQ211" i="6"/>
  <c r="X65" i="6"/>
  <c r="R36" i="6"/>
  <c r="X94" i="6"/>
  <c r="AQ197" i="6"/>
  <c r="R30" i="6"/>
  <c r="AQ200" i="6"/>
  <c r="X215" i="6"/>
  <c r="X36" i="6"/>
  <c r="X15" i="6"/>
  <c r="X42" i="6"/>
  <c r="AQ199" i="6"/>
  <c r="AK212" i="6"/>
  <c r="AE19" i="6"/>
  <c r="AE34" i="6"/>
  <c r="R19" i="6"/>
  <c r="R29" i="6"/>
  <c r="AK163" i="6"/>
  <c r="AK91" i="6"/>
  <c r="AE94" i="6"/>
  <c r="AQ48" i="6"/>
  <c r="AK168" i="6"/>
  <c r="Q20" i="6"/>
  <c r="S20" i="6" s="1"/>
  <c r="Y18" i="6"/>
  <c r="R59" i="6"/>
  <c r="Y59" i="6"/>
  <c r="Y64" i="6"/>
  <c r="Q66" i="6"/>
  <c r="S66" i="6" s="1"/>
  <c r="R34" i="6"/>
  <c r="R46" i="6"/>
  <c r="AK167" i="6"/>
  <c r="AK164" i="6"/>
  <c r="AK181" i="6"/>
  <c r="Y58" i="6"/>
  <c r="R31" i="6"/>
  <c r="R64" i="6"/>
  <c r="AK41" i="6"/>
  <c r="AK92" i="6"/>
  <c r="AK178" i="6"/>
  <c r="AE182" i="6"/>
  <c r="AE36" i="6"/>
  <c r="AK36" i="6" s="1"/>
  <c r="Y57" i="6"/>
  <c r="R13" i="6"/>
  <c r="R18" i="6"/>
  <c r="R28" i="6"/>
  <c r="R49" i="6"/>
  <c r="R65" i="6"/>
  <c r="AE42" i="6"/>
  <c r="AQ166" i="6"/>
  <c r="R58" i="6"/>
  <c r="R57" i="6"/>
  <c r="AM213" i="6" l="1"/>
  <c r="AL213" i="6"/>
  <c r="AS69" i="6"/>
  <c r="AR69" i="6"/>
  <c r="AM178" i="6"/>
  <c r="AL178" i="6"/>
  <c r="AM167" i="6"/>
  <c r="AL167" i="6"/>
  <c r="AS200" i="6"/>
  <c r="AR200" i="6"/>
  <c r="AS113" i="6"/>
  <c r="AR113" i="6"/>
  <c r="AM220" i="6"/>
  <c r="AL220" i="6"/>
  <c r="AL91" i="6"/>
  <c r="AM91" i="6"/>
  <c r="AS123" i="6"/>
  <c r="AR123" i="6"/>
  <c r="AM63" i="6"/>
  <c r="AL63" i="6"/>
  <c r="AM130" i="6"/>
  <c r="AL130" i="6"/>
  <c r="AM92" i="6"/>
  <c r="AL92" i="6"/>
  <c r="AM168" i="6"/>
  <c r="AL168" i="6"/>
  <c r="AM179" i="6"/>
  <c r="AL179" i="6"/>
  <c r="AM196" i="6"/>
  <c r="AL196" i="6"/>
  <c r="AS48" i="6"/>
  <c r="AR48" i="6"/>
  <c r="AM212" i="6"/>
  <c r="AL212" i="6"/>
  <c r="AR197" i="6"/>
  <c r="AS197" i="6"/>
  <c r="AS54" i="6"/>
  <c r="AR54" i="6"/>
  <c r="AM163" i="6"/>
  <c r="AL163" i="6"/>
  <c r="AM41" i="6"/>
  <c r="AL41" i="6"/>
  <c r="AS199" i="6"/>
  <c r="AR199" i="6"/>
  <c r="AM93" i="6"/>
  <c r="AL93" i="6"/>
  <c r="AM165" i="6"/>
  <c r="AL165" i="6"/>
  <c r="AM129" i="6"/>
  <c r="AL129" i="6"/>
  <c r="AM36" i="6"/>
  <c r="AL36" i="6"/>
  <c r="AM181" i="6"/>
  <c r="AL181" i="6"/>
  <c r="AS211" i="6"/>
  <c r="AR211" i="6"/>
  <c r="AM118" i="6"/>
  <c r="AL118" i="6"/>
  <c r="AM70" i="6"/>
  <c r="AL70" i="6"/>
  <c r="AM83" i="6"/>
  <c r="AL83" i="6"/>
  <c r="AL73" i="6"/>
  <c r="AM73" i="6"/>
  <c r="AS166" i="6"/>
  <c r="AR166" i="6"/>
  <c r="AM164" i="6"/>
  <c r="AL164" i="6"/>
  <c r="AM180" i="6"/>
  <c r="AL180" i="6"/>
  <c r="AM32" i="6"/>
  <c r="AL32" i="6"/>
  <c r="AM124" i="6"/>
  <c r="AL124" i="6"/>
  <c r="AK75" i="6"/>
  <c r="AG220" i="6"/>
  <c r="AF220" i="6"/>
  <c r="AF136" i="6"/>
  <c r="AG136" i="6"/>
  <c r="AG131" i="6"/>
  <c r="AF131" i="6"/>
  <c r="AK215" i="6"/>
  <c r="AG42" i="6"/>
  <c r="AF42" i="6"/>
  <c r="AK126" i="6"/>
  <c r="AF75" i="6"/>
  <c r="AG75" i="6"/>
  <c r="AG34" i="6"/>
  <c r="AF34" i="6"/>
  <c r="AG19" i="6"/>
  <c r="AF19" i="6"/>
  <c r="AG94" i="6"/>
  <c r="AF94" i="6"/>
  <c r="AG36" i="6"/>
  <c r="AF36" i="6"/>
  <c r="AG182" i="6"/>
  <c r="AF182" i="6"/>
  <c r="AQ134" i="6"/>
  <c r="AK136" i="6"/>
  <c r="AQ179" i="6"/>
  <c r="AQ165" i="6"/>
  <c r="AQ213" i="6"/>
  <c r="AQ73" i="6"/>
  <c r="AQ118" i="6"/>
  <c r="AQ70" i="6"/>
  <c r="AQ124" i="6"/>
  <c r="AK131" i="6"/>
  <c r="AQ83" i="6"/>
  <c r="X34" i="6"/>
  <c r="AE31" i="6"/>
  <c r="AQ196" i="6"/>
  <c r="X33" i="6"/>
  <c r="AQ93" i="6"/>
  <c r="AE15" i="6"/>
  <c r="X50" i="6"/>
  <c r="X19" i="6"/>
  <c r="AQ180" i="6"/>
  <c r="AQ32" i="6"/>
  <c r="AE50" i="6"/>
  <c r="AE65" i="6"/>
  <c r="X29" i="6"/>
  <c r="AQ130" i="6"/>
  <c r="AE29" i="6"/>
  <c r="AE28" i="6"/>
  <c r="X28" i="6"/>
  <c r="AQ218" i="6"/>
  <c r="AE49" i="6"/>
  <c r="X31" i="6"/>
  <c r="X49" i="6"/>
  <c r="AQ63" i="6"/>
  <c r="AE46" i="6"/>
  <c r="X46" i="6"/>
  <c r="AQ129" i="6"/>
  <c r="X59" i="6"/>
  <c r="X18" i="6"/>
  <c r="AQ212" i="6"/>
  <c r="X58" i="6"/>
  <c r="X57" i="6"/>
  <c r="X64" i="6"/>
  <c r="R20" i="6"/>
  <c r="AQ91" i="6"/>
  <c r="AK94" i="6"/>
  <c r="AE57" i="6"/>
  <c r="AQ92" i="6"/>
  <c r="AE58" i="6"/>
  <c r="AJ58" i="6" s="1"/>
  <c r="AQ181" i="6"/>
  <c r="R66" i="6"/>
  <c r="AQ168" i="6"/>
  <c r="AQ178" i="6"/>
  <c r="AK182" i="6"/>
  <c r="AQ41" i="6"/>
  <c r="AQ164" i="6"/>
  <c r="AQ167" i="6"/>
  <c r="W66" i="6"/>
  <c r="Y66" i="6" s="1"/>
  <c r="AQ40" i="6"/>
  <c r="AK42" i="6"/>
  <c r="AE59" i="6"/>
  <c r="AJ59" i="6" s="1"/>
  <c r="W20" i="6"/>
  <c r="AE18" i="6"/>
  <c r="AQ163" i="6"/>
  <c r="AK19" i="6"/>
  <c r="N6" i="6"/>
  <c r="N233" i="6" s="1"/>
  <c r="M233" i="6"/>
  <c r="L233" i="6"/>
  <c r="J260" i="6"/>
  <c r="E250" i="6"/>
  <c r="F250" i="6"/>
  <c r="F258" i="6"/>
  <c r="F257" i="6"/>
  <c r="F256" i="6"/>
  <c r="F254" i="6"/>
  <c r="F253" i="6"/>
  <c r="F252" i="6"/>
  <c r="F251" i="6"/>
  <c r="F249" i="6"/>
  <c r="F248" i="6"/>
  <c r="F246" i="6"/>
  <c r="E258" i="6"/>
  <c r="E257" i="6"/>
  <c r="E256" i="6"/>
  <c r="E254" i="6"/>
  <c r="E253" i="6"/>
  <c r="E252" i="6"/>
  <c r="E251" i="6"/>
  <c r="E249" i="6"/>
  <c r="E248" i="6"/>
  <c r="E246" i="6"/>
  <c r="E247" i="6"/>
  <c r="G238" i="6"/>
  <c r="L238" i="6" s="1"/>
  <c r="G241" i="6"/>
  <c r="L241" i="6" s="1"/>
  <c r="G239" i="6"/>
  <c r="M239" i="6" s="1"/>
  <c r="G240" i="6"/>
  <c r="G242" i="6"/>
  <c r="M242" i="6" s="1"/>
  <c r="D228" i="6"/>
  <c r="Q220" i="6"/>
  <c r="S220" i="6" s="1"/>
  <c r="G21" i="6"/>
  <c r="AS41" i="6" l="1"/>
  <c r="AR41" i="6"/>
  <c r="AS196" i="6"/>
  <c r="AR196" i="6"/>
  <c r="AS73" i="6"/>
  <c r="AR73" i="6"/>
  <c r="AM182" i="6"/>
  <c r="AL182" i="6"/>
  <c r="AM94" i="6"/>
  <c r="AL94" i="6"/>
  <c r="AQ220" i="6"/>
  <c r="AS218" i="6"/>
  <c r="AR218" i="6"/>
  <c r="AR32" i="6"/>
  <c r="AS32" i="6"/>
  <c r="AS213" i="6"/>
  <c r="AR213" i="6"/>
  <c r="AR40" i="6"/>
  <c r="AS40" i="6"/>
  <c r="AM131" i="6"/>
  <c r="AL131" i="6"/>
  <c r="AM75" i="6"/>
  <c r="AL75" i="6"/>
  <c r="AS63" i="6"/>
  <c r="AR63" i="6"/>
  <c r="AS178" i="6"/>
  <c r="AR178" i="6"/>
  <c r="AS91" i="6"/>
  <c r="AR91" i="6"/>
  <c r="AS129" i="6"/>
  <c r="AR129" i="6"/>
  <c r="AS180" i="6"/>
  <c r="AR180" i="6"/>
  <c r="AS165" i="6"/>
  <c r="AR165" i="6"/>
  <c r="AL126" i="6"/>
  <c r="AM126" i="6"/>
  <c r="AL42" i="6"/>
  <c r="AM42" i="6"/>
  <c r="AS168" i="6"/>
  <c r="AR168" i="6"/>
  <c r="AS83" i="6"/>
  <c r="AR83" i="6"/>
  <c r="AS179" i="6"/>
  <c r="AR179" i="6"/>
  <c r="AM136" i="6"/>
  <c r="AL136" i="6"/>
  <c r="AS181" i="6"/>
  <c r="AR181" i="6"/>
  <c r="AS124" i="6"/>
  <c r="AR124" i="6"/>
  <c r="AM215" i="6"/>
  <c r="AL215" i="6"/>
  <c r="AM19" i="6"/>
  <c r="AL19" i="6"/>
  <c r="AS167" i="6"/>
  <c r="AR167" i="6"/>
  <c r="AS93" i="6"/>
  <c r="AR93" i="6"/>
  <c r="AS70" i="6"/>
  <c r="AR70" i="6"/>
  <c r="AS130" i="6"/>
  <c r="AR130" i="6"/>
  <c r="AQ136" i="6"/>
  <c r="AS134" i="6"/>
  <c r="AR134" i="6"/>
  <c r="AS163" i="6"/>
  <c r="AR163" i="6"/>
  <c r="AS164" i="6"/>
  <c r="AR164" i="6"/>
  <c r="AR92" i="6"/>
  <c r="AS92" i="6"/>
  <c r="AS212" i="6"/>
  <c r="AR212" i="6"/>
  <c r="AS118" i="6"/>
  <c r="AR118" i="6"/>
  <c r="AQ215" i="6"/>
  <c r="AF46" i="6"/>
  <c r="AG46" i="6"/>
  <c r="AG65" i="6"/>
  <c r="AF65" i="6"/>
  <c r="AF64" i="6"/>
  <c r="AG64" i="6"/>
  <c r="AQ126" i="6"/>
  <c r="AG33" i="6"/>
  <c r="AF33" i="6"/>
  <c r="AG29" i="6"/>
  <c r="AF29" i="6"/>
  <c r="AF50" i="6"/>
  <c r="AG50" i="6"/>
  <c r="AG58" i="6"/>
  <c r="AF58" i="6"/>
  <c r="AG30" i="6"/>
  <c r="AF30" i="6"/>
  <c r="AG15" i="6"/>
  <c r="AF15" i="6"/>
  <c r="AG57" i="6"/>
  <c r="AF57" i="6"/>
  <c r="AF18" i="6"/>
  <c r="AG18" i="6"/>
  <c r="AG28" i="6"/>
  <c r="AF28" i="6"/>
  <c r="AF59" i="6"/>
  <c r="AG59" i="6"/>
  <c r="AG49" i="6"/>
  <c r="AF49" i="6"/>
  <c r="AF31" i="6"/>
  <c r="AG31" i="6"/>
  <c r="AQ75" i="6"/>
  <c r="Y20" i="6"/>
  <c r="AK15" i="6"/>
  <c r="AK50" i="6"/>
  <c r="AK31" i="6"/>
  <c r="AK30" i="6"/>
  <c r="AK29" i="6"/>
  <c r="AK46" i="6"/>
  <c r="AK33" i="6"/>
  <c r="AK65" i="6"/>
  <c r="AK49" i="6"/>
  <c r="AQ131" i="6"/>
  <c r="AK28" i="6"/>
  <c r="M241" i="6"/>
  <c r="M238" i="6"/>
  <c r="L242" i="6"/>
  <c r="X66" i="6"/>
  <c r="X20" i="6"/>
  <c r="AQ19" i="6"/>
  <c r="AK57" i="6"/>
  <c r="N9" i="6"/>
  <c r="N21" i="6" s="1"/>
  <c r="AQ42" i="6"/>
  <c r="AQ182" i="6"/>
  <c r="AE20" i="6"/>
  <c r="AK18" i="6"/>
  <c r="AQ36" i="6"/>
  <c r="AK64" i="6"/>
  <c r="AE66" i="6"/>
  <c r="AQ34" i="6"/>
  <c r="AQ94" i="6"/>
  <c r="R191" i="6"/>
  <c r="R220" i="6"/>
  <c r="F247" i="6"/>
  <c r="L239" i="6"/>
  <c r="G243" i="6"/>
  <c r="L240" i="6"/>
  <c r="M240" i="6"/>
  <c r="AS19" i="6" l="1"/>
  <c r="AR19" i="6"/>
  <c r="AM15" i="6"/>
  <c r="AL15" i="6"/>
  <c r="AS136" i="6"/>
  <c r="AR136" i="6"/>
  <c r="AM18" i="6"/>
  <c r="AL18" i="6"/>
  <c r="AS75" i="6"/>
  <c r="AR75" i="6"/>
  <c r="AS215" i="6"/>
  <c r="AR215" i="6"/>
  <c r="AM65" i="6"/>
  <c r="AL65" i="6"/>
  <c r="AM46" i="6"/>
  <c r="AL46" i="6"/>
  <c r="AS126" i="6"/>
  <c r="AR126" i="6"/>
  <c r="AM64" i="6"/>
  <c r="AL64" i="6"/>
  <c r="AR36" i="6"/>
  <c r="AS36" i="6"/>
  <c r="AS182" i="6"/>
  <c r="AR182" i="6"/>
  <c r="AS94" i="6"/>
  <c r="AR94" i="6"/>
  <c r="AS42" i="6"/>
  <c r="AR42" i="6"/>
  <c r="AL30" i="6"/>
  <c r="AM30" i="6"/>
  <c r="AS220" i="6"/>
  <c r="AR220" i="6"/>
  <c r="AM49" i="6"/>
  <c r="AL49" i="6"/>
  <c r="AM33" i="6"/>
  <c r="AL33" i="6"/>
  <c r="AM28" i="6"/>
  <c r="AL28" i="6"/>
  <c r="AM31" i="6"/>
  <c r="AL31" i="6"/>
  <c r="AM29" i="6"/>
  <c r="AL29" i="6"/>
  <c r="AS34" i="6"/>
  <c r="AR34" i="6"/>
  <c r="AM57" i="6"/>
  <c r="AL57" i="6"/>
  <c r="AS131" i="6"/>
  <c r="AR131" i="6"/>
  <c r="AM50" i="6"/>
  <c r="AL50" i="6"/>
  <c r="AG66" i="6"/>
  <c r="AF66" i="6"/>
  <c r="AG20" i="6"/>
  <c r="AF20" i="6"/>
  <c r="AQ15" i="6"/>
  <c r="AQ50" i="6"/>
  <c r="AQ65" i="6"/>
  <c r="AQ31" i="6"/>
  <c r="AQ29" i="6"/>
  <c r="AQ30" i="6"/>
  <c r="AQ46" i="6"/>
  <c r="AQ33" i="6"/>
  <c r="AQ49" i="6"/>
  <c r="AQ28" i="6"/>
  <c r="N94" i="6"/>
  <c r="AK20" i="6"/>
  <c r="AQ18" i="6"/>
  <c r="AQ58" i="6"/>
  <c r="AQ57" i="6"/>
  <c r="AQ64" i="6"/>
  <c r="AK66" i="6"/>
  <c r="AQ59" i="6"/>
  <c r="W220" i="6"/>
  <c r="Y220" i="6" s="1"/>
  <c r="AR59" i="6" l="1"/>
  <c r="AS59" i="6"/>
  <c r="AS49" i="6"/>
  <c r="AR49" i="6"/>
  <c r="AS33" i="6"/>
  <c r="AR33" i="6"/>
  <c r="AS57" i="6"/>
  <c r="AR57" i="6"/>
  <c r="AS64" i="6"/>
  <c r="AR64" i="6"/>
  <c r="AS18" i="6"/>
  <c r="AR18" i="6"/>
  <c r="AR28" i="6"/>
  <c r="AS28" i="6"/>
  <c r="AL66" i="6"/>
  <c r="AM66" i="6"/>
  <c r="AR46" i="6"/>
  <c r="AS46" i="6"/>
  <c r="AS58" i="6"/>
  <c r="AR58" i="6"/>
  <c r="AM20" i="6"/>
  <c r="AL20" i="6"/>
  <c r="AS31" i="6"/>
  <c r="AR31" i="6"/>
  <c r="AR50" i="6"/>
  <c r="AS50" i="6"/>
  <c r="AS15" i="6"/>
  <c r="AR15" i="6"/>
  <c r="AS30" i="6"/>
  <c r="AR30" i="6"/>
  <c r="AS29" i="6"/>
  <c r="AR29" i="6"/>
  <c r="AR65" i="6"/>
  <c r="AS65" i="6"/>
  <c r="X220" i="6"/>
  <c r="AQ20" i="6"/>
  <c r="AQ66" i="6"/>
  <c r="AS66" i="6" l="1"/>
  <c r="AR66" i="6"/>
  <c r="AR20" i="6"/>
  <c r="AS20" i="6"/>
  <c r="G25" i="3"/>
  <c r="I36" i="3"/>
  <c r="E65" i="3"/>
  <c r="G63" i="3" s="1"/>
  <c r="G24" i="7"/>
  <c r="G23" i="7"/>
  <c r="G22" i="7"/>
  <c r="E58" i="3"/>
  <c r="E149" i="3"/>
  <c r="I75" i="3"/>
  <c r="I12" i="3"/>
  <c r="N110" i="6"/>
  <c r="G87" i="3" l="1"/>
  <c r="G90" i="3"/>
  <c r="G94" i="3" s="1"/>
  <c r="G54" i="3"/>
  <c r="G52" i="3"/>
  <c r="G51" i="3"/>
  <c r="G50" i="3"/>
  <c r="G56" i="3"/>
  <c r="G55" i="3"/>
  <c r="G53" i="3"/>
  <c r="E67" i="3"/>
  <c r="N196" i="6"/>
  <c r="N197" i="6"/>
  <c r="N115" i="6"/>
  <c r="N198" i="6"/>
  <c r="N169" i="6"/>
  <c r="N202" i="6"/>
  <c r="N159" i="6"/>
  <c r="N195" i="6"/>
  <c r="E69" i="3"/>
  <c r="I69" i="3" s="1"/>
  <c r="K69" i="3" s="1"/>
  <c r="N158" i="6"/>
  <c r="N194" i="6"/>
  <c r="N160" i="6"/>
  <c r="N201" i="6"/>
  <c r="N231" i="6" s="1"/>
  <c r="N60" i="6"/>
  <c r="G258" i="6"/>
  <c r="N80" i="6"/>
  <c r="N37" i="6"/>
  <c r="N66" i="6"/>
  <c r="N88" i="6"/>
  <c r="N42" i="6"/>
  <c r="N70" i="6"/>
  <c r="N99" i="6"/>
  <c r="N51" i="6"/>
  <c r="N75" i="6"/>
  <c r="G248" i="6"/>
  <c r="G246" i="6" s="1"/>
  <c r="G257" i="6"/>
  <c r="G27" i="3"/>
  <c r="G26" i="3"/>
  <c r="E157" i="3"/>
  <c r="G97" i="3" l="1"/>
  <c r="G143" i="3"/>
  <c r="G115" i="3"/>
  <c r="G131" i="3"/>
  <c r="G123" i="3"/>
  <c r="G111" i="3"/>
  <c r="G147" i="3"/>
  <c r="G145" i="3"/>
  <c r="G117" i="3"/>
  <c r="G119" i="3"/>
  <c r="G141" i="3"/>
  <c r="G133" i="3"/>
  <c r="G127" i="3"/>
  <c r="G104" i="3"/>
  <c r="G108" i="3" s="1"/>
  <c r="G113" i="3"/>
  <c r="G152" i="3"/>
  <c r="G125" i="3"/>
  <c r="G121" i="3"/>
  <c r="G129" i="3"/>
  <c r="G67" i="3"/>
  <c r="G58" i="3"/>
  <c r="N239" i="6"/>
  <c r="N238" i="6"/>
  <c r="N240" i="6"/>
  <c r="N241" i="6"/>
  <c r="N242" i="6"/>
  <c r="G65" i="3"/>
  <c r="E159" i="3"/>
  <c r="G149" i="3" l="1"/>
  <c r="G135" i="3"/>
  <c r="N228" i="6"/>
  <c r="N230" i="6" s="1"/>
  <c r="N154" i="6"/>
  <c r="N147" i="6"/>
  <c r="N136" i="6"/>
  <c r="N131" i="6"/>
  <c r="N126" i="6"/>
  <c r="N120" i="6"/>
  <c r="G28" i="7"/>
  <c r="G27" i="7"/>
  <c r="J18" i="7"/>
  <c r="I18" i="7"/>
  <c r="H18" i="7"/>
  <c r="G21" i="7"/>
  <c r="G20" i="7"/>
  <c r="G19" i="7"/>
  <c r="Y158" i="6"/>
  <c r="Y198" i="6"/>
  <c r="Q136" i="6"/>
  <c r="S136" i="6" s="1"/>
  <c r="Q140" i="6"/>
  <c r="S140" i="6" s="1"/>
  <c r="Q141" i="6"/>
  <c r="S141" i="6" s="1"/>
  <c r="Q142" i="6"/>
  <c r="S142" i="6" s="1"/>
  <c r="Q143" i="6"/>
  <c r="S143" i="6" s="1"/>
  <c r="Q144" i="6"/>
  <c r="S144" i="6" s="1"/>
  <c r="Q145" i="6"/>
  <c r="S145" i="6" s="1"/>
  <c r="Q146" i="6"/>
  <c r="S146" i="6" s="1"/>
  <c r="Q153" i="6"/>
  <c r="S153" i="6" s="1"/>
  <c r="Q151" i="6"/>
  <c r="S151" i="6" s="1"/>
  <c r="Q45" i="6"/>
  <c r="S45" i="6" s="1"/>
  <c r="Q119" i="6"/>
  <c r="S119" i="6" s="1"/>
  <c r="G157" i="3" l="1"/>
  <c r="G159" i="3" s="1"/>
  <c r="X198" i="6"/>
  <c r="AE198" i="6"/>
  <c r="AJ198" i="6" s="1"/>
  <c r="W201" i="6"/>
  <c r="Y201" i="6" s="1"/>
  <c r="X158" i="6"/>
  <c r="Y142" i="6"/>
  <c r="R142" i="6"/>
  <c r="R150" i="6"/>
  <c r="Y145" i="6"/>
  <c r="R145" i="6"/>
  <c r="R141" i="6"/>
  <c r="AE158" i="6"/>
  <c r="Y146" i="6"/>
  <c r="R146" i="6"/>
  <c r="Q224" i="6"/>
  <c r="S224" i="6" s="1"/>
  <c r="R223" i="6"/>
  <c r="Y119" i="6"/>
  <c r="R119" i="6"/>
  <c r="R151" i="6"/>
  <c r="Y144" i="6"/>
  <c r="R144" i="6"/>
  <c r="Y140" i="6"/>
  <c r="Q147" i="6"/>
  <c r="R140" i="6"/>
  <c r="R227" i="6"/>
  <c r="Q51" i="6"/>
  <c r="S51" i="6" s="1"/>
  <c r="Y45" i="6"/>
  <c r="R45" i="6"/>
  <c r="W153" i="6"/>
  <c r="R153" i="6"/>
  <c r="R143" i="6"/>
  <c r="R136" i="6"/>
  <c r="R205" i="6"/>
  <c r="R182" i="6"/>
  <c r="R231" i="6" s="1"/>
  <c r="Q208" i="6"/>
  <c r="S208" i="6" s="1"/>
  <c r="H26" i="7"/>
  <c r="D2" i="6" s="1"/>
  <c r="J97" i="6" s="1"/>
  <c r="Y141" i="6"/>
  <c r="Y143" i="6"/>
  <c r="Y139" i="6"/>
  <c r="W151" i="6"/>
  <c r="Y151" i="6" s="1"/>
  <c r="AE205" i="6"/>
  <c r="Q120" i="6"/>
  <c r="S120" i="6" s="1"/>
  <c r="Q154" i="6"/>
  <c r="Q228" i="6"/>
  <c r="S228" i="6" s="1"/>
  <c r="AG158" i="6" l="1"/>
  <c r="AF158" i="6"/>
  <c r="AG205" i="6"/>
  <c r="AF205" i="6"/>
  <c r="AG198" i="6"/>
  <c r="AF198" i="6"/>
  <c r="S154" i="6"/>
  <c r="T251" i="6"/>
  <c r="S147" i="6"/>
  <c r="T248" i="6"/>
  <c r="AE153" i="6"/>
  <c r="Y153" i="6"/>
  <c r="X151" i="6"/>
  <c r="J151" i="6" s="1"/>
  <c r="W154" i="6"/>
  <c r="X139" i="6"/>
  <c r="X45" i="6"/>
  <c r="Y231" i="6"/>
  <c r="X201" i="6"/>
  <c r="X231" i="6" s="1"/>
  <c r="AE143" i="6"/>
  <c r="X143" i="6"/>
  <c r="X153" i="6"/>
  <c r="X146" i="6"/>
  <c r="AE145" i="6"/>
  <c r="X145" i="6"/>
  <c r="AE201" i="6"/>
  <c r="AE141" i="6"/>
  <c r="X141" i="6"/>
  <c r="X144" i="6"/>
  <c r="AE142" i="6"/>
  <c r="AK142" i="6" s="1"/>
  <c r="X142" i="6"/>
  <c r="X140" i="6"/>
  <c r="X119" i="6"/>
  <c r="W169" i="6"/>
  <c r="Y169" i="6" s="1"/>
  <c r="J246" i="6"/>
  <c r="J239" i="6"/>
  <c r="J238" i="6"/>
  <c r="J240" i="6"/>
  <c r="J241" i="6"/>
  <c r="J242" i="6"/>
  <c r="I41" i="3" s="1"/>
  <c r="K41" i="3" s="1"/>
  <c r="AE140" i="6"/>
  <c r="R228" i="6"/>
  <c r="R120" i="6"/>
  <c r="R147" i="6"/>
  <c r="AE144" i="6"/>
  <c r="R224" i="6"/>
  <c r="AK158" i="6"/>
  <c r="AE139" i="6"/>
  <c r="Y147" i="6"/>
  <c r="W51" i="6"/>
  <c r="Y51" i="6" s="1"/>
  <c r="AE45" i="6"/>
  <c r="AE119" i="6"/>
  <c r="Y120" i="6"/>
  <c r="R154" i="6"/>
  <c r="J250" i="6"/>
  <c r="J256" i="6"/>
  <c r="R208" i="6"/>
  <c r="R51" i="6"/>
  <c r="AE146" i="6"/>
  <c r="S231" i="6"/>
  <c r="R202" i="6"/>
  <c r="R169" i="6"/>
  <c r="J218" i="6"/>
  <c r="J220" i="6"/>
  <c r="J200" i="6"/>
  <c r="J212" i="6"/>
  <c r="J211" i="6"/>
  <c r="J213" i="6"/>
  <c r="J215" i="6"/>
  <c r="J199" i="6"/>
  <c r="J190" i="6"/>
  <c r="J186" i="6"/>
  <c r="J184" i="6"/>
  <c r="J189" i="6"/>
  <c r="J183" i="6"/>
  <c r="J191" i="6"/>
  <c r="J185" i="6"/>
  <c r="J187" i="6"/>
  <c r="J188" i="6"/>
  <c r="J177" i="6"/>
  <c r="J181" i="6"/>
  <c r="J175" i="6"/>
  <c r="J179" i="6"/>
  <c r="J176" i="6"/>
  <c r="J180" i="6"/>
  <c r="J178" i="6"/>
  <c r="J162" i="6"/>
  <c r="J166" i="6"/>
  <c r="J163" i="6"/>
  <c r="J167" i="6"/>
  <c r="J164" i="6"/>
  <c r="J168" i="6"/>
  <c r="J161" i="6"/>
  <c r="J165" i="6"/>
  <c r="J98" i="6"/>
  <c r="J108" i="6"/>
  <c r="J109" i="6"/>
  <c r="J107" i="6"/>
  <c r="J64" i="6"/>
  <c r="J65" i="6"/>
  <c r="J59" i="6"/>
  <c r="J57" i="6"/>
  <c r="J58" i="6"/>
  <c r="J46" i="6"/>
  <c r="J49" i="6"/>
  <c r="J50" i="6"/>
  <c r="J48" i="6"/>
  <c r="J28" i="6"/>
  <c r="J32" i="6"/>
  <c r="J29" i="6"/>
  <c r="J33" i="6"/>
  <c r="J30" i="6"/>
  <c r="J34" i="6"/>
  <c r="J31" i="6"/>
  <c r="J36" i="6"/>
  <c r="J17" i="6"/>
  <c r="J19" i="6"/>
  <c r="J20" i="6"/>
  <c r="J18" i="6"/>
  <c r="J15" i="6"/>
  <c r="Y136" i="6"/>
  <c r="J247" i="6"/>
  <c r="J252" i="6"/>
  <c r="J257" i="6"/>
  <c r="I61" i="3" s="1"/>
  <c r="J248" i="6"/>
  <c r="J253" i="6"/>
  <c r="J258" i="6"/>
  <c r="I63" i="3" s="1"/>
  <c r="J249" i="6"/>
  <c r="J254" i="6"/>
  <c r="J251" i="6"/>
  <c r="J41" i="6"/>
  <c r="J66" i="6"/>
  <c r="I117" i="3" s="1"/>
  <c r="K117" i="3" s="1"/>
  <c r="J93" i="6"/>
  <c r="J99" i="6"/>
  <c r="I129" i="3" s="1"/>
  <c r="K129" i="3" s="1"/>
  <c r="J106" i="6"/>
  <c r="J130" i="6"/>
  <c r="J160" i="6"/>
  <c r="J172" i="6"/>
  <c r="J193" i="6"/>
  <c r="J223" i="6"/>
  <c r="J118" i="6"/>
  <c r="J91" i="6"/>
  <c r="J69" i="6"/>
  <c r="J40" i="6"/>
  <c r="J103" i="6"/>
  <c r="J131" i="6"/>
  <c r="I143" i="3" s="1"/>
  <c r="K143" i="3" s="1"/>
  <c r="J173" i="6"/>
  <c r="J194" i="6"/>
  <c r="J197" i="6"/>
  <c r="J205" i="6"/>
  <c r="J134" i="6"/>
  <c r="J113" i="6"/>
  <c r="J83" i="6"/>
  <c r="J63" i="6"/>
  <c r="J104" i="6"/>
  <c r="J124" i="6"/>
  <c r="J170" i="6"/>
  <c r="J174" i="6"/>
  <c r="J195" i="6"/>
  <c r="J198" i="6"/>
  <c r="J182" i="6"/>
  <c r="J102" i="6"/>
  <c r="J54" i="6"/>
  <c r="J105" i="6"/>
  <c r="J196" i="6"/>
  <c r="J158" i="6"/>
  <c r="J233" i="6"/>
  <c r="I87" i="3" s="1"/>
  <c r="K87" i="3" s="1"/>
  <c r="J159" i="6"/>
  <c r="J129" i="6"/>
  <c r="J12" i="6"/>
  <c r="J92" i="6"/>
  <c r="J126" i="6"/>
  <c r="I141" i="3" s="1"/>
  <c r="K141" i="3" s="1"/>
  <c r="J171" i="6"/>
  <c r="J227" i="6"/>
  <c r="J123" i="6"/>
  <c r="J73" i="6"/>
  <c r="AE150" i="6"/>
  <c r="Y114" i="6"/>
  <c r="Q115" i="6"/>
  <c r="S115" i="6" s="1"/>
  <c r="W224" i="6"/>
  <c r="Y224" i="6" s="1"/>
  <c r="AK205" i="6"/>
  <c r="AE208" i="6"/>
  <c r="Q87" i="6"/>
  <c r="S87" i="6" s="1"/>
  <c r="Q85" i="6"/>
  <c r="S85" i="6" s="1"/>
  <c r="Q84" i="6"/>
  <c r="S84" i="6" s="1"/>
  <c r="Q79" i="6"/>
  <c r="S79" i="6" s="1"/>
  <c r="Q78" i="6"/>
  <c r="S78" i="6" s="1"/>
  <c r="Q56" i="6"/>
  <c r="S56" i="6" s="1"/>
  <c r="Q55" i="6"/>
  <c r="S55" i="6" s="1"/>
  <c r="Q27" i="6"/>
  <c r="S27" i="6" s="1"/>
  <c r="Q26" i="6"/>
  <c r="S26" i="6" s="1"/>
  <c r="Q25" i="6"/>
  <c r="Q14" i="6"/>
  <c r="S14" i="6" s="1"/>
  <c r="B1" i="6"/>
  <c r="C1" i="6" s="1"/>
  <c r="D1" i="6" s="1"/>
  <c r="E1" i="6" s="1"/>
  <c r="F1" i="6" s="1"/>
  <c r="G1" i="6" s="1"/>
  <c r="H1" i="6" s="1"/>
  <c r="I1" i="6" s="1"/>
  <c r="J1" i="6" s="1"/>
  <c r="K1" i="6" s="1"/>
  <c r="L1" i="6" s="1"/>
  <c r="AM158" i="6" l="1"/>
  <c r="AL158" i="6"/>
  <c r="AM142" i="6"/>
  <c r="AL142" i="6"/>
  <c r="AM205" i="6"/>
  <c r="AL205" i="6"/>
  <c r="AG208" i="6"/>
  <c r="AF208" i="6"/>
  <c r="J208" i="6" s="1"/>
  <c r="AG119" i="6"/>
  <c r="AF119" i="6"/>
  <c r="J119" i="6" s="1"/>
  <c r="AG150" i="6"/>
  <c r="AF150" i="6"/>
  <c r="J150" i="6" s="1"/>
  <c r="AF45" i="6"/>
  <c r="J45" i="6" s="1"/>
  <c r="AG45" i="6"/>
  <c r="AF153" i="6"/>
  <c r="J153" i="6" s="1"/>
  <c r="AG153" i="6"/>
  <c r="AF143" i="6"/>
  <c r="J143" i="6" s="1"/>
  <c r="AG143" i="6"/>
  <c r="AG201" i="6"/>
  <c r="AF201" i="6"/>
  <c r="J201" i="6" s="1"/>
  <c r="AG140" i="6"/>
  <c r="AF140" i="6"/>
  <c r="J140" i="6" s="1"/>
  <c r="AG139" i="6"/>
  <c r="AF139" i="6"/>
  <c r="J139" i="6" s="1"/>
  <c r="AF145" i="6"/>
  <c r="J145" i="6" s="1"/>
  <c r="AG145" i="6"/>
  <c r="AG142" i="6"/>
  <c r="AF142" i="6"/>
  <c r="J142" i="6" s="1"/>
  <c r="AF146" i="6"/>
  <c r="J146" i="6" s="1"/>
  <c r="AG146" i="6"/>
  <c r="AG141" i="6"/>
  <c r="AF141" i="6"/>
  <c r="J141" i="6" s="1"/>
  <c r="AG144" i="6"/>
  <c r="AF144" i="6"/>
  <c r="J144" i="6" s="1"/>
  <c r="S25" i="6"/>
  <c r="Q37" i="6"/>
  <c r="S37" i="6" s="1"/>
  <c r="Y154" i="6"/>
  <c r="Z251" i="6"/>
  <c r="J228" i="6"/>
  <c r="AK153" i="6"/>
  <c r="AK145" i="6"/>
  <c r="AK143" i="6"/>
  <c r="AK141" i="6"/>
  <c r="I40" i="3"/>
  <c r="I39" i="3"/>
  <c r="R230" i="6"/>
  <c r="AE169" i="6"/>
  <c r="S230" i="6"/>
  <c r="AE114" i="6"/>
  <c r="X114" i="6"/>
  <c r="AQ198" i="6"/>
  <c r="AK201" i="6"/>
  <c r="X120" i="6"/>
  <c r="X51" i="6"/>
  <c r="Y230" i="6"/>
  <c r="X169" i="6"/>
  <c r="X230" i="6" s="1"/>
  <c r="W202" i="6"/>
  <c r="Z249" i="6" s="1"/>
  <c r="X154" i="6"/>
  <c r="X224" i="6"/>
  <c r="J224" i="6" s="1"/>
  <c r="X136" i="6"/>
  <c r="J136" i="6" s="1"/>
  <c r="I145" i="3" s="1"/>
  <c r="K145" i="3" s="1"/>
  <c r="X147" i="6"/>
  <c r="AG231" i="6"/>
  <c r="I65" i="3"/>
  <c r="I50" i="3"/>
  <c r="I53" i="3"/>
  <c r="K53" i="3" s="1"/>
  <c r="I55" i="3"/>
  <c r="K55" i="3" s="1"/>
  <c r="I49" i="3"/>
  <c r="K49" i="3" s="1"/>
  <c r="I52" i="3"/>
  <c r="K52" i="3" s="1"/>
  <c r="I56" i="3"/>
  <c r="K56" i="3" s="1"/>
  <c r="I51" i="3"/>
  <c r="K51" i="3" s="1"/>
  <c r="I54" i="3"/>
  <c r="K54" i="3" s="1"/>
  <c r="R26" i="6"/>
  <c r="R27" i="6"/>
  <c r="AK146" i="6"/>
  <c r="AQ158" i="6"/>
  <c r="AK169" i="6"/>
  <c r="AK144" i="6"/>
  <c r="R87" i="6"/>
  <c r="Q60" i="6"/>
  <c r="S60" i="6" s="1"/>
  <c r="R55" i="6"/>
  <c r="AK119" i="6"/>
  <c r="AE120" i="6"/>
  <c r="AH248" i="6" s="1"/>
  <c r="AK45" i="6"/>
  <c r="AE51" i="6"/>
  <c r="AK139" i="6"/>
  <c r="AE147" i="6"/>
  <c r="Y78" i="6"/>
  <c r="Q80" i="6"/>
  <c r="S80" i="6" s="1"/>
  <c r="R78" i="6"/>
  <c r="R115" i="6"/>
  <c r="R79" i="6"/>
  <c r="R14" i="6"/>
  <c r="Q16" i="6"/>
  <c r="Q88" i="6"/>
  <c r="S88" i="6" s="1"/>
  <c r="R84" i="6"/>
  <c r="R25" i="6"/>
  <c r="R56" i="6"/>
  <c r="R85" i="6"/>
  <c r="AK140" i="6"/>
  <c r="T6" i="6"/>
  <c r="AE110" i="6"/>
  <c r="R110" i="6"/>
  <c r="K61" i="3"/>
  <c r="K63" i="3"/>
  <c r="Y14" i="6"/>
  <c r="Y27" i="6"/>
  <c r="AE154" i="6"/>
  <c r="AH251" i="6" s="1"/>
  <c r="AK150" i="6"/>
  <c r="M1" i="6"/>
  <c r="N1" i="6" s="1"/>
  <c r="O1" i="6" s="1"/>
  <c r="P1" i="6" s="1"/>
  <c r="Q1" i="6" s="1"/>
  <c r="R1" i="6" s="1"/>
  <c r="S1" i="6" s="1"/>
  <c r="T1" i="6" s="1"/>
  <c r="U1" i="6" s="1"/>
  <c r="V1" i="6" s="1"/>
  <c r="W1" i="6" s="1"/>
  <c r="X1" i="6" s="1"/>
  <c r="Y1" i="6" s="1"/>
  <c r="Y26" i="6"/>
  <c r="Y87" i="6"/>
  <c r="Y24" i="6"/>
  <c r="Y55" i="6"/>
  <c r="Y84" i="6"/>
  <c r="Y25" i="6"/>
  <c r="Y56" i="6"/>
  <c r="Y79" i="6"/>
  <c r="Y85" i="6"/>
  <c r="Q75" i="6"/>
  <c r="S75" i="6" s="1"/>
  <c r="AK208" i="6"/>
  <c r="AQ205" i="6"/>
  <c r="W115" i="6"/>
  <c r="Y115" i="6" s="1"/>
  <c r="Q70" i="6"/>
  <c r="S70" i="6" s="1"/>
  <c r="AM139" i="6" l="1"/>
  <c r="AL139" i="6"/>
  <c r="AL144" i="6"/>
  <c r="AM144" i="6"/>
  <c r="AM169" i="6"/>
  <c r="AM230" i="6" s="1"/>
  <c r="AL169" i="6"/>
  <c r="AL230" i="6" s="1"/>
  <c r="AM201" i="6"/>
  <c r="AM231" i="6" s="1"/>
  <c r="AL201" i="6"/>
  <c r="AL231" i="6" s="1"/>
  <c r="AL140" i="6"/>
  <c r="AM140" i="6"/>
  <c r="AM45" i="6"/>
  <c r="AL45" i="6"/>
  <c r="AS158" i="6"/>
  <c r="AR158" i="6"/>
  <c r="AS198" i="6"/>
  <c r="AR198" i="6"/>
  <c r="AM141" i="6"/>
  <c r="AL141" i="6"/>
  <c r="AL150" i="6"/>
  <c r="AM150" i="6"/>
  <c r="AM146" i="6"/>
  <c r="AL146" i="6"/>
  <c r="AM143" i="6"/>
  <c r="AL143" i="6"/>
  <c r="AM119" i="6"/>
  <c r="AL119" i="6"/>
  <c r="AM145" i="6"/>
  <c r="AL145" i="6"/>
  <c r="AS205" i="6"/>
  <c r="AR205" i="6"/>
  <c r="AM208" i="6"/>
  <c r="AL208" i="6"/>
  <c r="AM153" i="6"/>
  <c r="AL153" i="6"/>
  <c r="AF231" i="6"/>
  <c r="J231" i="6" s="1"/>
  <c r="I90" i="3" s="1"/>
  <c r="I94" i="3" s="1"/>
  <c r="K94" i="3" s="1"/>
  <c r="AG154" i="6"/>
  <c r="AF154" i="6"/>
  <c r="J154" i="6"/>
  <c r="I152" i="3" s="1"/>
  <c r="K152" i="3" s="1"/>
  <c r="AG120" i="6"/>
  <c r="AF120" i="6"/>
  <c r="J120" i="6" s="1"/>
  <c r="I139" i="3" s="1"/>
  <c r="K139" i="3" s="1"/>
  <c r="AF110" i="6"/>
  <c r="J110" i="6" s="1"/>
  <c r="I131" i="3" s="1"/>
  <c r="K131" i="3" s="1"/>
  <c r="AG110" i="6"/>
  <c r="AG114" i="6"/>
  <c r="AF114" i="6"/>
  <c r="J114" i="6" s="1"/>
  <c r="AG51" i="6"/>
  <c r="AF51" i="6"/>
  <c r="J51" i="6" s="1"/>
  <c r="I113" i="3" s="1"/>
  <c r="K113" i="3" s="1"/>
  <c r="AG169" i="6"/>
  <c r="AG230" i="6" s="1"/>
  <c r="AF169" i="6"/>
  <c r="AF230" i="6" s="1"/>
  <c r="J230" i="6" s="1"/>
  <c r="I80" i="3" s="1"/>
  <c r="AG147" i="6"/>
  <c r="AF147" i="6"/>
  <c r="J147" i="6" s="1"/>
  <c r="I147" i="3" s="1"/>
  <c r="K147" i="3" s="1"/>
  <c r="Z1" i="6"/>
  <c r="AA1" i="6" s="1"/>
  <c r="S16" i="6"/>
  <c r="Q21" i="6"/>
  <c r="S246" i="6" s="1"/>
  <c r="AQ141" i="6"/>
  <c r="AQ153" i="6"/>
  <c r="AQ143" i="6"/>
  <c r="Z6" i="6"/>
  <c r="Y202" i="6"/>
  <c r="AQ142" i="6"/>
  <c r="AE115" i="6"/>
  <c r="AQ145" i="6"/>
  <c r="AK114" i="6"/>
  <c r="I42" i="3"/>
  <c r="K39" i="3"/>
  <c r="AE202" i="6"/>
  <c r="AH249" i="6" s="1"/>
  <c r="K65" i="3"/>
  <c r="K40" i="3"/>
  <c r="AE26" i="6"/>
  <c r="X26" i="6"/>
  <c r="X115" i="6"/>
  <c r="AE56" i="6"/>
  <c r="X56" i="6"/>
  <c r="X55" i="6"/>
  <c r="AE27" i="6"/>
  <c r="X27" i="6"/>
  <c r="X84" i="6"/>
  <c r="AE85" i="6"/>
  <c r="X85" i="6"/>
  <c r="AE25" i="6"/>
  <c r="X25" i="6"/>
  <c r="AE24" i="6"/>
  <c r="X24" i="6"/>
  <c r="AE14" i="6"/>
  <c r="X14" i="6"/>
  <c r="X202" i="6"/>
  <c r="AE13" i="6"/>
  <c r="X13" i="6"/>
  <c r="AE87" i="6"/>
  <c r="X87" i="6"/>
  <c r="X78" i="6"/>
  <c r="R60" i="6"/>
  <c r="I58" i="3"/>
  <c r="K58" i="3" s="1"/>
  <c r="AE79" i="6"/>
  <c r="X79" i="6"/>
  <c r="AK202" i="6"/>
  <c r="AQ201" i="6"/>
  <c r="K50" i="3"/>
  <c r="R75" i="6"/>
  <c r="AQ45" i="6"/>
  <c r="AK51" i="6"/>
  <c r="R70" i="6"/>
  <c r="R37" i="6"/>
  <c r="R16" i="6"/>
  <c r="AQ119" i="6"/>
  <c r="AK120" i="6"/>
  <c r="AQ146" i="6"/>
  <c r="AQ140" i="6"/>
  <c r="R80" i="6"/>
  <c r="AQ144" i="6"/>
  <c r="AQ169" i="6"/>
  <c r="AE55" i="6"/>
  <c r="W60" i="6"/>
  <c r="R88" i="6"/>
  <c r="AE84" i="6"/>
  <c r="W88" i="6"/>
  <c r="Y88" i="6" s="1"/>
  <c r="AE78" i="6"/>
  <c r="W80" i="6"/>
  <c r="Y80" i="6" s="1"/>
  <c r="AQ139" i="6"/>
  <c r="AK147" i="6"/>
  <c r="R94" i="6"/>
  <c r="R42" i="6"/>
  <c r="W16" i="6"/>
  <c r="W75" i="6"/>
  <c r="Y75" i="6" s="1"/>
  <c r="Y37" i="6"/>
  <c r="AK154" i="6"/>
  <c r="AQ150" i="6"/>
  <c r="AQ151" i="6"/>
  <c r="AQ208" i="6"/>
  <c r="W70" i="6"/>
  <c r="Y70" i="6" s="1"/>
  <c r="AS169" i="6" l="1"/>
  <c r="AS230" i="6" s="1"/>
  <c r="AR169" i="6"/>
  <c r="AR230" i="6" s="1"/>
  <c r="AL114" i="6"/>
  <c r="AM114" i="6"/>
  <c r="AS141" i="6"/>
  <c r="AR141" i="6"/>
  <c r="AS150" i="6"/>
  <c r="AR150" i="6"/>
  <c r="AS139" i="6"/>
  <c r="AR139" i="6"/>
  <c r="AF13" i="6"/>
  <c r="AK13" i="6"/>
  <c r="AM154" i="6"/>
  <c r="AL154" i="6"/>
  <c r="AS144" i="6"/>
  <c r="AR144" i="6"/>
  <c r="AS145" i="6"/>
  <c r="AR145" i="6"/>
  <c r="AS140" i="6"/>
  <c r="AR140" i="6"/>
  <c r="AS45" i="6"/>
  <c r="AR45" i="6"/>
  <c r="AS142" i="6"/>
  <c r="AR142" i="6"/>
  <c r="AL120" i="6"/>
  <c r="AM120" i="6"/>
  <c r="AN248" i="6"/>
  <c r="AS146" i="6"/>
  <c r="AR146" i="6"/>
  <c r="AS119" i="6"/>
  <c r="AR119" i="6"/>
  <c r="AN251" i="6"/>
  <c r="AM51" i="6"/>
  <c r="AL51" i="6"/>
  <c r="AS208" i="6"/>
  <c r="AR208" i="6"/>
  <c r="AR201" i="6"/>
  <c r="AR231" i="6" s="1"/>
  <c r="AS201" i="6"/>
  <c r="AS231" i="6" s="1"/>
  <c r="AS143" i="6"/>
  <c r="AR143" i="6"/>
  <c r="AS151" i="6"/>
  <c r="AR151" i="6"/>
  <c r="AM147" i="6"/>
  <c r="AL147" i="6"/>
  <c r="AN249" i="6"/>
  <c r="AM202" i="6"/>
  <c r="AL202" i="6"/>
  <c r="AS153" i="6"/>
  <c r="AR153" i="6"/>
  <c r="AN6" i="6"/>
  <c r="K90" i="3"/>
  <c r="J169" i="6"/>
  <c r="AB1" i="6"/>
  <c r="AC1" i="6" s="1"/>
  <c r="AD1" i="6" s="1"/>
  <c r="AE1" i="6" s="1"/>
  <c r="AF1" i="6" s="1"/>
  <c r="AG1" i="6" s="1"/>
  <c r="AH1" i="6" s="1"/>
  <c r="AI1" i="6" s="1"/>
  <c r="AJ1" i="6" s="1"/>
  <c r="AK1" i="6" s="1"/>
  <c r="AL1" i="6" s="1"/>
  <c r="AM1" i="6" s="1"/>
  <c r="AN1" i="6" s="1"/>
  <c r="AO1" i="6" s="1"/>
  <c r="AP1" i="6" s="1"/>
  <c r="AQ1" i="6" s="1"/>
  <c r="AR1" i="6" s="1"/>
  <c r="AS1" i="6" s="1"/>
  <c r="AT1" i="6" s="1"/>
  <c r="AG78" i="6"/>
  <c r="AF78" i="6"/>
  <c r="AG115" i="6"/>
  <c r="AF115" i="6"/>
  <c r="J115" i="6" s="1"/>
  <c r="I133" i="3" s="1"/>
  <c r="K133" i="3" s="1"/>
  <c r="AG79" i="6"/>
  <c r="AF79" i="6"/>
  <c r="J79" i="6" s="1"/>
  <c r="J78" i="6"/>
  <c r="I149" i="3"/>
  <c r="K149" i="3" s="1"/>
  <c r="AF24" i="6"/>
  <c r="J24" i="6" s="1"/>
  <c r="AG24" i="6"/>
  <c r="AG13" i="6"/>
  <c r="J13" i="6"/>
  <c r="AG26" i="6"/>
  <c r="AF26" i="6"/>
  <c r="J26" i="6" s="1"/>
  <c r="AG84" i="6"/>
  <c r="AF84" i="6"/>
  <c r="J84" i="6" s="1"/>
  <c r="AG25" i="6"/>
  <c r="AF25" i="6"/>
  <c r="J25" i="6" s="1"/>
  <c r="AF27" i="6"/>
  <c r="J27" i="6" s="1"/>
  <c r="AG27" i="6"/>
  <c r="AF85" i="6"/>
  <c r="J85" i="6" s="1"/>
  <c r="AG85" i="6"/>
  <c r="AG202" i="6"/>
  <c r="AF202" i="6"/>
  <c r="J202" i="6" s="1"/>
  <c r="AF55" i="6"/>
  <c r="J55" i="6" s="1"/>
  <c r="AG55" i="6"/>
  <c r="AF14" i="6"/>
  <c r="J14" i="6" s="1"/>
  <c r="AG14" i="6"/>
  <c r="AG56" i="6"/>
  <c r="AF56" i="6"/>
  <c r="J56" i="6" s="1"/>
  <c r="AG87" i="6"/>
  <c r="AF87" i="6"/>
  <c r="J87" i="6" s="1"/>
  <c r="K80" i="3"/>
  <c r="I97" i="3"/>
  <c r="K97" i="3" s="1"/>
  <c r="AE37" i="6"/>
  <c r="I84" i="3"/>
  <c r="K84" i="3" s="1"/>
  <c r="Y16" i="6"/>
  <c r="W21" i="6"/>
  <c r="Z247" i="6" s="1"/>
  <c r="Z250" i="6" s="1"/>
  <c r="Z252" i="6" s="1"/>
  <c r="Y60" i="6"/>
  <c r="S21" i="6"/>
  <c r="T247" i="6"/>
  <c r="T250" i="6" s="1"/>
  <c r="T252" i="6" s="1"/>
  <c r="J94" i="6"/>
  <c r="I127" i="3" s="1"/>
  <c r="K127" i="3" s="1"/>
  <c r="J42" i="6"/>
  <c r="I111" i="3" s="1"/>
  <c r="K111" i="3" s="1"/>
  <c r="AK25" i="6"/>
  <c r="AK26" i="6"/>
  <c r="AK56" i="6"/>
  <c r="AK79" i="6"/>
  <c r="AK87" i="6"/>
  <c r="AK85" i="6"/>
  <c r="AK27" i="6"/>
  <c r="AH6" i="6"/>
  <c r="AQ114" i="6"/>
  <c r="AK14" i="6"/>
  <c r="AK115" i="6"/>
  <c r="AE16" i="6"/>
  <c r="AK24" i="6"/>
  <c r="X37" i="6"/>
  <c r="X88" i="6"/>
  <c r="X75" i="6"/>
  <c r="J75" i="6" s="1"/>
  <c r="I121" i="3" s="1"/>
  <c r="K121" i="3" s="1"/>
  <c r="X16" i="6"/>
  <c r="T9" i="6"/>
  <c r="T21" i="6" s="1"/>
  <c r="X80" i="6"/>
  <c r="AQ202" i="6"/>
  <c r="X70" i="6"/>
  <c r="J70" i="6" s="1"/>
  <c r="I119" i="3" s="1"/>
  <c r="K119" i="3" s="1"/>
  <c r="X60" i="6"/>
  <c r="I67" i="3"/>
  <c r="K67" i="3" s="1"/>
  <c r="AE80" i="6"/>
  <c r="AK78" i="6"/>
  <c r="AQ147" i="6"/>
  <c r="AK55" i="6"/>
  <c r="AE60" i="6"/>
  <c r="AQ120" i="6"/>
  <c r="AQ51" i="6"/>
  <c r="AK84" i="6"/>
  <c r="AE88" i="6"/>
  <c r="R21" i="6"/>
  <c r="AQ154" i="6"/>
  <c r="AM24" i="6" l="1"/>
  <c r="AL24" i="6"/>
  <c r="AM27" i="6"/>
  <c r="AL27" i="6"/>
  <c r="AS202" i="6"/>
  <c r="AR202" i="6"/>
  <c r="AL79" i="6"/>
  <c r="AM79" i="6"/>
  <c r="AL13" i="6"/>
  <c r="AM13" i="6"/>
  <c r="AM55" i="6"/>
  <c r="AL55" i="6"/>
  <c r="AM115" i="6"/>
  <c r="AL115" i="6"/>
  <c r="AS51" i="6"/>
  <c r="AR51" i="6"/>
  <c r="AL85" i="6"/>
  <c r="AM85" i="6"/>
  <c r="AS120" i="6"/>
  <c r="AR120" i="6"/>
  <c r="AM87" i="6"/>
  <c r="AL87" i="6"/>
  <c r="AS154" i="6"/>
  <c r="AR154" i="6"/>
  <c r="AS147" i="6"/>
  <c r="AR147" i="6"/>
  <c r="AM14" i="6"/>
  <c r="AL14" i="6"/>
  <c r="AL26" i="6"/>
  <c r="AM26" i="6"/>
  <c r="AM84" i="6"/>
  <c r="AL84" i="6"/>
  <c r="AL56" i="6"/>
  <c r="AM56" i="6"/>
  <c r="AM78" i="6"/>
  <c r="AL78" i="6"/>
  <c r="AS114" i="6"/>
  <c r="AR114" i="6"/>
  <c r="AM25" i="6"/>
  <c r="AL25" i="6"/>
  <c r="Y246" i="6"/>
  <c r="Y21" i="6"/>
  <c r="AG80" i="6"/>
  <c r="AF80" i="6"/>
  <c r="J80" i="6" s="1"/>
  <c r="I123" i="3" s="1"/>
  <c r="K123" i="3" s="1"/>
  <c r="AG37" i="6"/>
  <c r="AF37" i="6"/>
  <c r="J37" i="6" s="1"/>
  <c r="I104" i="3" s="1"/>
  <c r="K104" i="3" s="1"/>
  <c r="AG60" i="6"/>
  <c r="AF60" i="6"/>
  <c r="J60" i="6" s="1"/>
  <c r="I115" i="3" s="1"/>
  <c r="K115" i="3" s="1"/>
  <c r="AG16" i="6"/>
  <c r="AF16" i="6"/>
  <c r="J16" i="6" s="1"/>
  <c r="AG88" i="6"/>
  <c r="AF88" i="6"/>
  <c r="J88" i="6" s="1"/>
  <c r="I125" i="3" s="1"/>
  <c r="K125" i="3" s="1"/>
  <c r="AK37" i="6"/>
  <c r="AK16" i="6"/>
  <c r="AQ56" i="6"/>
  <c r="AQ25" i="6"/>
  <c r="AQ14" i="6"/>
  <c r="AQ27" i="6"/>
  <c r="AQ79" i="6"/>
  <c r="AQ85" i="6"/>
  <c r="AQ115" i="6"/>
  <c r="AQ87" i="6"/>
  <c r="AQ26" i="6"/>
  <c r="AE21" i="6"/>
  <c r="AQ13" i="6"/>
  <c r="AQ24" i="6"/>
  <c r="X21" i="6"/>
  <c r="Z9" i="6"/>
  <c r="Z21" i="6" s="1"/>
  <c r="T126" i="6"/>
  <c r="T131" i="6"/>
  <c r="T110" i="6"/>
  <c r="T99" i="6"/>
  <c r="T42" i="6"/>
  <c r="T94" i="6"/>
  <c r="T66" i="6"/>
  <c r="T136" i="6"/>
  <c r="T120" i="6"/>
  <c r="T147" i="6"/>
  <c r="T154" i="6"/>
  <c r="T51" i="6"/>
  <c r="T115" i="6"/>
  <c r="T37" i="6"/>
  <c r="T75" i="6"/>
  <c r="T70" i="6"/>
  <c r="T88" i="6"/>
  <c r="T80" i="6"/>
  <c r="T60" i="6"/>
  <c r="AT6" i="6"/>
  <c r="AQ84" i="6"/>
  <c r="AK88" i="6"/>
  <c r="AQ78" i="6"/>
  <c r="AK80" i="6"/>
  <c r="AQ55" i="6"/>
  <c r="AK60" i="6"/>
  <c r="AH247" i="6" l="1"/>
  <c r="AH250" i="6" s="1"/>
  <c r="AH252" i="6" s="1"/>
  <c r="AG246" i="6"/>
  <c r="AS25" i="6"/>
  <c r="AR25" i="6"/>
  <c r="AS26" i="6"/>
  <c r="AR26" i="6"/>
  <c r="AS56" i="6"/>
  <c r="AR56" i="6"/>
  <c r="AS87" i="6"/>
  <c r="AR87" i="6"/>
  <c r="AM16" i="6"/>
  <c r="AL16" i="6"/>
  <c r="AR55" i="6"/>
  <c r="AS55" i="6"/>
  <c r="AS115" i="6"/>
  <c r="AR115" i="6"/>
  <c r="AM37" i="6"/>
  <c r="AL37" i="6"/>
  <c r="AS78" i="6"/>
  <c r="AR78" i="6"/>
  <c r="AS79" i="6"/>
  <c r="AR79" i="6"/>
  <c r="AR24" i="6"/>
  <c r="AS24" i="6"/>
  <c r="AS27" i="6"/>
  <c r="AR27" i="6"/>
  <c r="AL60" i="6"/>
  <c r="AM60" i="6"/>
  <c r="AM80" i="6"/>
  <c r="AL80" i="6"/>
  <c r="AS85" i="6"/>
  <c r="AR85" i="6"/>
  <c r="AM88" i="6"/>
  <c r="AL88" i="6"/>
  <c r="AS84" i="6"/>
  <c r="AR84" i="6"/>
  <c r="AS13" i="6"/>
  <c r="AR13" i="6"/>
  <c r="AS14" i="6"/>
  <c r="AR14" i="6"/>
  <c r="AN246" i="6"/>
  <c r="AK21" i="6"/>
  <c r="AF21" i="6"/>
  <c r="J21" i="6" s="1"/>
  <c r="I101" i="3" s="1"/>
  <c r="K101" i="3" s="1"/>
  <c r="AG21" i="6"/>
  <c r="I108" i="3"/>
  <c r="K108" i="3" s="1"/>
  <c r="AQ37" i="6"/>
  <c r="AH9" i="6"/>
  <c r="AH88" i="6" s="1"/>
  <c r="AQ16" i="6"/>
  <c r="Z110" i="6"/>
  <c r="Z99" i="6"/>
  <c r="Z131" i="6"/>
  <c r="Z126" i="6"/>
  <c r="Z42" i="6"/>
  <c r="Z94" i="6"/>
  <c r="Z66" i="6"/>
  <c r="Z120" i="6"/>
  <c r="Z136" i="6"/>
  <c r="Z147" i="6"/>
  <c r="Z51" i="6"/>
  <c r="Z154" i="6"/>
  <c r="Z115" i="6"/>
  <c r="Z75" i="6"/>
  <c r="Z70" i="6"/>
  <c r="Z37" i="6"/>
  <c r="Z88" i="6"/>
  <c r="Z80" i="6"/>
  <c r="Z60" i="6"/>
  <c r="AQ60" i="6"/>
  <c r="AQ80" i="6"/>
  <c r="AQ88" i="6"/>
  <c r="AS88" i="6" l="1"/>
  <c r="AR88" i="6"/>
  <c r="AS37" i="6"/>
  <c r="AR37" i="6"/>
  <c r="AR80" i="6"/>
  <c r="AS80" i="6"/>
  <c r="AL21" i="6"/>
  <c r="AM21" i="6"/>
  <c r="AS60" i="6"/>
  <c r="AR60" i="6"/>
  <c r="AN247" i="6"/>
  <c r="AN250" i="6" s="1"/>
  <c r="AN252" i="6" s="1"/>
  <c r="AR16" i="6"/>
  <c r="AS16" i="6"/>
  <c r="AN9" i="6"/>
  <c r="AN60" i="6" s="1"/>
  <c r="C265" i="6"/>
  <c r="C266" i="6" s="1"/>
  <c r="I135" i="3"/>
  <c r="K135" i="3" s="1"/>
  <c r="AH94" i="6"/>
  <c r="AH42" i="6"/>
  <c r="AH51" i="6"/>
  <c r="AH99" i="6"/>
  <c r="AH115" i="6"/>
  <c r="AH80" i="6"/>
  <c r="AH60" i="6"/>
  <c r="AH70" i="6"/>
  <c r="AH120" i="6"/>
  <c r="AH110" i="6"/>
  <c r="AH21" i="6"/>
  <c r="AH131" i="6"/>
  <c r="AH147" i="6"/>
  <c r="AH136" i="6"/>
  <c r="AH75" i="6"/>
  <c r="AH154" i="6"/>
  <c r="AH126" i="6"/>
  <c r="AH66" i="6"/>
  <c r="AH37" i="6"/>
  <c r="AQ21" i="6"/>
  <c r="AS21" i="6" l="1"/>
  <c r="AR21" i="6"/>
  <c r="AN154" i="6"/>
  <c r="AN147" i="6"/>
  <c r="AN110" i="6"/>
  <c r="AN99" i="6"/>
  <c r="AN75" i="6"/>
  <c r="AN21" i="6"/>
  <c r="AN115" i="6"/>
  <c r="AN94" i="6"/>
  <c r="AN66" i="6"/>
  <c r="AN70" i="6"/>
  <c r="AN88" i="6"/>
  <c r="AN120" i="6"/>
  <c r="AN126" i="6"/>
  <c r="AN80" i="6"/>
  <c r="AN37" i="6"/>
  <c r="AN51" i="6"/>
  <c r="AN42" i="6"/>
  <c r="AN131" i="6"/>
  <c r="AN136" i="6"/>
  <c r="I157" i="3"/>
  <c r="K157" i="3" s="1"/>
  <c r="AT9" i="6"/>
  <c r="AT80" i="6" s="1"/>
  <c r="I159" i="3" l="1"/>
  <c r="K159" i="3" s="1"/>
  <c r="AT131" i="6"/>
  <c r="AT60" i="6"/>
  <c r="AT110" i="6"/>
  <c r="AT154" i="6"/>
  <c r="AT94" i="6"/>
  <c r="AT37" i="6"/>
  <c r="AT115" i="6"/>
  <c r="AT42" i="6"/>
  <c r="AT126" i="6"/>
  <c r="AT21" i="6"/>
  <c r="AT120" i="6"/>
  <c r="AT147" i="6"/>
  <c r="AT75" i="6"/>
  <c r="AT70" i="6"/>
  <c r="AT88" i="6"/>
  <c r="AT51" i="6"/>
  <c r="AT66" i="6"/>
  <c r="AT136" i="6"/>
  <c r="AT9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Plamondon, Julie</author>
  </authors>
  <commentList>
    <comment ref="AD30" authorId="0" shapeId="0" xr:uid="{00000000-0006-0000-0400-000001000000}">
      <text>
        <r>
          <rPr>
            <b/>
            <sz val="9"/>
            <color indexed="81"/>
            <rFont val="Tahoma"/>
            <charset val="1"/>
          </rPr>
          <t>Plamondon, Julie:</t>
        </r>
        <r>
          <rPr>
            <sz val="9"/>
            <color indexed="81"/>
            <rFont val="Tahoma"/>
            <charset val="1"/>
          </rPr>
          <t xml:space="preserve">
Premix, minéraux et acides aminés et médicaments pour moulées</t>
        </r>
      </text>
    </comment>
    <comment ref="P34" authorId="0" shapeId="0" xr:uid="{00000000-0006-0000-0400-000002000000}">
      <text>
        <r>
          <rPr>
            <b/>
            <sz val="9"/>
            <color indexed="81"/>
            <rFont val="Tahoma"/>
            <family val="2"/>
          </rPr>
          <t>Plamondon, Julie:</t>
        </r>
        <r>
          <rPr>
            <sz val="9"/>
            <color indexed="81"/>
            <rFont val="Tahoma"/>
            <family val="2"/>
          </rPr>
          <t xml:space="preserve">
Sous-produits divers</t>
        </r>
      </text>
    </comment>
    <comment ref="P40" authorId="0" shapeId="0" xr:uid="{00000000-0006-0000-0400-000003000000}">
      <text>
        <r>
          <rPr>
            <b/>
            <sz val="9"/>
            <color indexed="81"/>
            <rFont val="Tahoma"/>
            <family val="2"/>
          </rPr>
          <t>Plamondon, Julie:</t>
        </r>
        <r>
          <rPr>
            <sz val="9"/>
            <color indexed="81"/>
            <rFont val="Tahoma"/>
            <family val="2"/>
          </rPr>
          <t xml:space="preserve">
Somme Médicaments et vétérinaires 2018/Somme Médicaments et vétérinaires 2017</t>
        </r>
      </text>
    </comment>
    <comment ref="P54" authorId="0" shapeId="0" xr:uid="{00000000-0006-0000-0400-000004000000}">
      <text>
        <r>
          <rPr>
            <b/>
            <sz val="9"/>
            <color indexed="81"/>
            <rFont val="Tahoma"/>
            <family val="2"/>
          </rPr>
          <t>Plamondon, Julie:</t>
        </r>
        <r>
          <rPr>
            <sz val="9"/>
            <color indexed="81"/>
            <rFont val="Tahoma"/>
            <family val="2"/>
          </rPr>
          <t xml:space="preserve">
Somme Semences 2018/Somme Semences 2017</t>
        </r>
      </text>
    </comment>
    <comment ref="P103" authorId="0" shapeId="0" xr:uid="{00000000-0006-0000-0400-000005000000}">
      <text>
        <r>
          <rPr>
            <b/>
            <sz val="9"/>
            <color indexed="81"/>
            <rFont val="Tahoma"/>
            <family val="2"/>
          </rPr>
          <t>Plamondon, Julie:</t>
        </r>
        <r>
          <rPr>
            <sz val="9"/>
            <color indexed="81"/>
            <rFont val="Tahoma"/>
            <family val="2"/>
          </rPr>
          <t xml:space="preserve">
FADQ Blé humain</t>
        </r>
      </text>
    </comment>
    <comment ref="P104" authorId="0" shapeId="0" xr:uid="{00000000-0006-0000-0400-000006000000}">
      <text>
        <r>
          <rPr>
            <b/>
            <sz val="9"/>
            <color indexed="81"/>
            <rFont val="Tahoma"/>
            <family val="2"/>
          </rPr>
          <t>Plamondon, Julie:</t>
        </r>
        <r>
          <rPr>
            <sz val="9"/>
            <color indexed="81"/>
            <rFont val="Tahoma"/>
            <family val="2"/>
          </rPr>
          <t xml:space="preserve">
Blé</t>
        </r>
      </text>
    </comment>
    <comment ref="P181" authorId="0" shapeId="0" xr:uid="{00000000-0006-0000-0400-000007000000}">
      <text>
        <r>
          <rPr>
            <b/>
            <sz val="9"/>
            <color indexed="81"/>
            <rFont val="Tahoma"/>
            <family val="2"/>
          </rPr>
          <t>Plamondon, Julie:</t>
        </r>
        <r>
          <rPr>
            <sz val="9"/>
            <color indexed="81"/>
            <rFont val="Tahoma"/>
            <family val="2"/>
          </rPr>
          <t xml:space="preserve">
Fixe pour l'instant</t>
        </r>
      </text>
    </comment>
    <comment ref="V181" authorId="0" shapeId="0" xr:uid="{00000000-0006-0000-0400-000008000000}">
      <text>
        <r>
          <rPr>
            <b/>
            <sz val="9"/>
            <color indexed="81"/>
            <rFont val="Tahoma"/>
            <family val="2"/>
          </rPr>
          <t>Plamondon, Julie:</t>
        </r>
        <r>
          <rPr>
            <sz val="9"/>
            <color indexed="81"/>
            <rFont val="Tahoma"/>
            <family val="2"/>
          </rPr>
          <t xml:space="preserve">
Fixe pour l'instant</t>
        </r>
      </text>
    </comment>
    <comment ref="AD181" authorId="0" shapeId="0" xr:uid="{00000000-0006-0000-0400-000009000000}">
      <text>
        <r>
          <rPr>
            <b/>
            <sz val="9"/>
            <color indexed="81"/>
            <rFont val="Tahoma"/>
            <family val="2"/>
          </rPr>
          <t>Plamondon, Julie:</t>
        </r>
        <r>
          <rPr>
            <sz val="9"/>
            <color indexed="81"/>
            <rFont val="Tahoma"/>
            <family val="2"/>
          </rPr>
          <t xml:space="preserve">
Fixe pour l'instant</t>
        </r>
      </text>
    </comment>
    <comment ref="AJ181" authorId="0" shapeId="0" xr:uid="{00000000-0006-0000-0400-00000A000000}">
      <text>
        <r>
          <rPr>
            <b/>
            <sz val="9"/>
            <color indexed="81"/>
            <rFont val="Tahoma"/>
            <family val="2"/>
          </rPr>
          <t>Plamondon, Julie:</t>
        </r>
        <r>
          <rPr>
            <sz val="9"/>
            <color indexed="81"/>
            <rFont val="Tahoma"/>
            <family val="2"/>
          </rPr>
          <t xml:space="preserve">
Fixe pour l'instant</t>
        </r>
      </text>
    </comment>
    <comment ref="AP181" authorId="0" shapeId="0" xr:uid="{00000000-0006-0000-0400-00000B000000}">
      <text>
        <r>
          <rPr>
            <b/>
            <sz val="9"/>
            <color indexed="81"/>
            <rFont val="Tahoma"/>
            <family val="2"/>
          </rPr>
          <t>Plamondon, Julie:</t>
        </r>
        <r>
          <rPr>
            <sz val="9"/>
            <color indexed="81"/>
            <rFont val="Tahoma"/>
            <family val="2"/>
          </rPr>
          <t xml:space="preserve">
Fixe pour l'instant</t>
        </r>
      </text>
    </comment>
    <comment ref="P185" authorId="0" shapeId="0" xr:uid="{00000000-0006-0000-0400-00000C000000}">
      <text>
        <r>
          <rPr>
            <b/>
            <sz val="9"/>
            <color indexed="81"/>
            <rFont val="Tahoma"/>
            <family val="2"/>
          </rPr>
          <t>Plamondon, Julie:</t>
        </r>
        <r>
          <rPr>
            <sz val="9"/>
            <color indexed="81"/>
            <rFont val="Tahoma"/>
            <family val="2"/>
          </rPr>
          <t xml:space="preserve">
FADQ, Compensation totale</t>
        </r>
      </text>
    </comment>
    <comment ref="P187" authorId="0" shapeId="0" xr:uid="{00000000-0006-0000-0400-00000D000000}">
      <text>
        <r>
          <rPr>
            <b/>
            <sz val="9"/>
            <color indexed="81"/>
            <rFont val="Tahoma"/>
            <family val="2"/>
          </rPr>
          <t>Plamondon, Julie:</t>
        </r>
        <r>
          <rPr>
            <sz val="9"/>
            <color indexed="81"/>
            <rFont val="Tahoma"/>
            <family val="2"/>
          </rPr>
          <t xml:space="preserve">
FADQ Blé humain</t>
        </r>
      </text>
    </comment>
    <comment ref="P188" authorId="0" shapeId="0" xr:uid="{00000000-0006-0000-0400-00000E000000}">
      <text>
        <r>
          <rPr>
            <b/>
            <sz val="9"/>
            <color indexed="81"/>
            <rFont val="Tahoma"/>
            <family val="2"/>
          </rPr>
          <t>Plamondon, Julie:</t>
        </r>
        <r>
          <rPr>
            <sz val="9"/>
            <color indexed="81"/>
            <rFont val="Tahoma"/>
            <family val="2"/>
          </rPr>
          <t xml:space="preserve">
Blé</t>
        </r>
      </text>
    </comment>
    <comment ref="P198" authorId="0" shapeId="0" xr:uid="{00000000-0006-0000-0400-00000F000000}">
      <text>
        <r>
          <rPr>
            <b/>
            <sz val="9"/>
            <color indexed="81"/>
            <rFont val="Tahoma"/>
            <family val="2"/>
          </rPr>
          <t>Plamondon, Julie:</t>
        </r>
        <r>
          <rPr>
            <sz val="9"/>
            <color indexed="81"/>
            <rFont val="Tahoma"/>
            <family val="2"/>
          </rPr>
          <t xml:space="preserve">
Somme Bâtiments et machinerie 2018/Somme Bâtiments et machinerie 2017</t>
        </r>
      </text>
    </comment>
  </commentList>
</comments>
</file>

<file path=xl/sharedStrings.xml><?xml version="1.0" encoding="utf-8"?>
<sst xmlns="http://schemas.openxmlformats.org/spreadsheetml/2006/main" count="1392" uniqueCount="378">
  <si>
    <t>Unité de présentation des résultats :</t>
  </si>
  <si>
    <t>Année de comparaison :</t>
  </si>
  <si>
    <t>Vos chiffres</t>
  </si>
  <si>
    <t>Écart</t>
  </si>
  <si>
    <t>Unités</t>
  </si>
  <si>
    <t>Temps de travail</t>
  </si>
  <si>
    <t>Total</t>
  </si>
  <si>
    <t>Exploitants</t>
  </si>
  <si>
    <t>Famille</t>
  </si>
  <si>
    <t>Salariés</t>
  </si>
  <si>
    <t>RÉSULTATS TECHNIQUES</t>
  </si>
  <si>
    <t>RÉSULTATS FINANCIERS</t>
  </si>
  <si>
    <t>Charges variables</t>
  </si>
  <si>
    <t>Revenus</t>
  </si>
  <si>
    <t>TOTAL DES REVENUS</t>
  </si>
  <si>
    <t>Autres revenus</t>
  </si>
  <si>
    <t>Entretien de la machinerie et des équipements</t>
  </si>
  <si>
    <t>Carburants</t>
  </si>
  <si>
    <t>Électricité</t>
  </si>
  <si>
    <t>Travaux à forfait</t>
  </si>
  <si>
    <t>Location</t>
  </si>
  <si>
    <t>Main-d'œuvre salariée</t>
  </si>
  <si>
    <t>Contributions ASRA</t>
  </si>
  <si>
    <t>Contributions autres programmes FADQ</t>
  </si>
  <si>
    <t>Intérêts sur emprunts à court terme</t>
  </si>
  <si>
    <t>TOTAL DES CHARGES VARIABLES</t>
  </si>
  <si>
    <t>Charges fixes</t>
  </si>
  <si>
    <t>Assurances</t>
  </si>
  <si>
    <t>Taxes foncières</t>
  </si>
  <si>
    <t>Intérêts sur emprunts à long terme</t>
  </si>
  <si>
    <t>Autres frais</t>
  </si>
  <si>
    <t>TOTAL DES CHARGES FIXES</t>
  </si>
  <si>
    <t>Amortissement</t>
  </si>
  <si>
    <t>Variation des inventaires</t>
  </si>
  <si>
    <t>Voir Définitions</t>
  </si>
  <si>
    <t>TOTAL DES CHARGES</t>
  </si>
  <si>
    <t>MARGE BÉNÉFICIAIRE*</t>
  </si>
  <si>
    <t>RÉSULTATS ÉCONOMIQUES</t>
  </si>
  <si>
    <t>Information globale</t>
  </si>
  <si>
    <t>Chaux</t>
  </si>
  <si>
    <t>Essence</t>
  </si>
  <si>
    <t>Location de bâtiments</t>
  </si>
  <si>
    <t>Famille bénévole et forfaitaire</t>
  </si>
  <si>
    <t>Famille salariée taux horaire &lt; salariés</t>
  </si>
  <si>
    <t>Famille salariée taux horaire &gt; salariés</t>
  </si>
  <si>
    <t>Cont. autres programmes FADQ</t>
  </si>
  <si>
    <t>Frais exigibles</t>
  </si>
  <si>
    <t>Frais bancaires</t>
  </si>
  <si>
    <t>Bâtiments</t>
  </si>
  <si>
    <t xml:space="preserve">Assurances </t>
  </si>
  <si>
    <t>Assurance ferme</t>
  </si>
  <si>
    <t>Assurance véhicules</t>
  </si>
  <si>
    <t xml:space="preserve">Taxes foncières </t>
  </si>
  <si>
    <t>Taxes municipales et scolaires</t>
  </si>
  <si>
    <t>Remboursement</t>
  </si>
  <si>
    <t>Communications (téléphone, Internet, cellulaire)</t>
  </si>
  <si>
    <t>Immatriculations et permis</t>
  </si>
  <si>
    <t>Papeterie, fournitures de bureau</t>
  </si>
  <si>
    <t>Revenus de sous-produits</t>
  </si>
  <si>
    <t>Machinerie et équipements</t>
  </si>
  <si>
    <t>Drainage</t>
  </si>
  <si>
    <t xml:space="preserve">Rémunération des exploitants </t>
  </si>
  <si>
    <t xml:space="preserve">Rémunération de l'avoir </t>
  </si>
  <si>
    <t>Rémunération de l'avoir propre</t>
  </si>
  <si>
    <t>Revenus de vente</t>
  </si>
  <si>
    <t>Nombre</t>
  </si>
  <si>
    <t>$/unité</t>
  </si>
  <si>
    <t>$</t>
  </si>
  <si>
    <t>heures</t>
  </si>
  <si>
    <t>Sous-total</t>
  </si>
  <si>
    <t>$/an/exp.</t>
  </si>
  <si>
    <t>Taux</t>
  </si>
  <si>
    <t>$/ minot</t>
  </si>
  <si>
    <t>Indexation</t>
  </si>
  <si>
    <t>Avoir propre</t>
  </si>
  <si>
    <t>Année</t>
  </si>
  <si>
    <t>Coef+Ind</t>
  </si>
  <si>
    <t>Colonne Indexation</t>
  </si>
  <si>
    <t>Indice d'indexation de la FADQ</t>
  </si>
  <si>
    <t>Indice d'indexation de la FADQ qui se multiplie par la quantité</t>
  </si>
  <si>
    <t>Total du poste ou sous-total dans les sous-produits</t>
  </si>
  <si>
    <t>Choix</t>
  </si>
  <si>
    <t>Année de comparaison</t>
  </si>
  <si>
    <t>Indexation 2018</t>
  </si>
  <si>
    <t>Unité de présentation des résultats</t>
  </si>
  <si>
    <t>%</t>
  </si>
  <si>
    <t>Modèle</t>
  </si>
  <si>
    <t>Unité</t>
  </si>
  <si>
    <t>$/modèle</t>
  </si>
  <si>
    <t>Revenus totaux</t>
  </si>
  <si>
    <t>Charges totales avec amortissement</t>
  </si>
  <si>
    <t>Faites le calcul!</t>
  </si>
  <si>
    <t>Bonjour,</t>
  </si>
  <si>
    <t>Comparaison :</t>
  </si>
  <si>
    <t>L'onglet Définitions vous indique sommairement le contenu des postes de revenus et de charges que vous trouverez dans nos autres onglets.</t>
  </si>
  <si>
    <t xml:space="preserve">Prenez note que pour l'instant, les données comparées sont celles disponibles. Les données indexées seront ajoutées au fur et à mesure que les indices seront publiés. </t>
  </si>
  <si>
    <t>Réserves et limites :</t>
  </si>
  <si>
    <t>Ce document a été développé pour votre usage personnel et à des fins non commerciales. Vous acceptez de l'utiliser dans le respect des lois, des règlements et des normes applicables.</t>
  </si>
  <si>
    <t>Note:</t>
  </si>
  <si>
    <t>N'hésitez pas à nous contacter au besoin au 418 833-2515.</t>
  </si>
  <si>
    <t>L'équipe du CECPA</t>
  </si>
  <si>
    <t>Pour toutes les études qu’il réalise, le CECPA procède à différentes analyses. Certains éléments de coûts de production peuvent être affectés de manière ponctuelle ou permanente selon l’évolution du contexte économique d’un secteur.</t>
  </si>
  <si>
    <t xml:space="preserve">RÉSULTATS DE L'ÉTUDE SUR LE COÛT DE PRODUCTION </t>
  </si>
  <si>
    <t xml:space="preserve">RÉSULTATS TECHNIQUES         </t>
  </si>
  <si>
    <t xml:space="preserve">Temps de travail                       </t>
  </si>
  <si>
    <t xml:space="preserve">Actif </t>
  </si>
  <si>
    <t>Encaisse</t>
  </si>
  <si>
    <t>Autres inventaires</t>
  </si>
  <si>
    <t>Court terme</t>
  </si>
  <si>
    <t>Fonds de terre</t>
  </si>
  <si>
    <t>Matériel roulant</t>
  </si>
  <si>
    <t>Placements et autres</t>
  </si>
  <si>
    <t>Long terme</t>
  </si>
  <si>
    <t>TOTAL DE L'ACTIF</t>
  </si>
  <si>
    <t>Passif</t>
  </si>
  <si>
    <t>Marge de crédit et paiement anticipé</t>
  </si>
  <si>
    <t>Comptes fournisseurs</t>
  </si>
  <si>
    <t>Dettes à court terme</t>
  </si>
  <si>
    <t>Dettes à long terme</t>
  </si>
  <si>
    <t>TOTAL DU PASSIF</t>
  </si>
  <si>
    <t>AVOIR PROPRE</t>
  </si>
  <si>
    <t>Taux d'endettement</t>
  </si>
  <si>
    <t>COÛT DE PRODUCTION</t>
  </si>
  <si>
    <t>Postes</t>
  </si>
  <si>
    <t>CHARGES VARIABLES</t>
  </si>
  <si>
    <t>Diesel coloré</t>
  </si>
  <si>
    <t>Diesel blanc</t>
  </si>
  <si>
    <t xml:space="preserve">   Intérêts sur emprunts à court terme</t>
  </si>
  <si>
    <t xml:space="preserve">   Frais bancaires</t>
  </si>
  <si>
    <t>Total des charges variables</t>
  </si>
  <si>
    <t>CHARGES FIXES</t>
  </si>
  <si>
    <t xml:space="preserve">   Bâtiments</t>
  </si>
  <si>
    <t xml:space="preserve">   Assurance ferme</t>
  </si>
  <si>
    <t xml:space="preserve">   Assurance véhicules</t>
  </si>
  <si>
    <t>Total des charges fixes</t>
  </si>
  <si>
    <t xml:space="preserve">   Machinerie et équipements</t>
  </si>
  <si>
    <t xml:space="preserve">   Drainage</t>
  </si>
  <si>
    <t>Rémunération de l'avoir des propriétaires</t>
  </si>
  <si>
    <t>TOTAL COÛT DE PRODUCTION</t>
  </si>
  <si>
    <t>Indexation 2019</t>
  </si>
  <si>
    <t>Indexation 2020</t>
  </si>
  <si>
    <t>Programmes gouvernementaux</t>
  </si>
  <si>
    <t>Placements</t>
  </si>
  <si>
    <t>Actifs</t>
  </si>
  <si>
    <t>Indexation 2021</t>
  </si>
  <si>
    <t>Heures</t>
  </si>
  <si>
    <t>Famille bénévole</t>
  </si>
  <si>
    <t>Famille &lt; salariés</t>
  </si>
  <si>
    <t>Famille &gt; salariés</t>
  </si>
  <si>
    <t>Dettes</t>
  </si>
  <si>
    <t>Définitions</t>
  </si>
  <si>
    <t>Afin de réaliser une interprétation adéquate de l’information exposée, cette section définit sommairement la méthodologie utilisée dans l'étude de coût de production:</t>
  </si>
  <si>
    <t>Principes généraux</t>
  </si>
  <si>
    <t>Source des données</t>
  </si>
  <si>
    <t>Le coût de production d’un produit agricole est établi à partir de la moyenne pondérée des coûts de production des entreprises sélectionnées dans l’échantillon enquêté.</t>
  </si>
  <si>
    <t>Données primaires</t>
  </si>
  <si>
    <t xml:space="preserve">Les données primaires utilisées par le CECPA proviennent spécifiquement des entreprises enquêtées et proviennent des états financiers, de la comptabilité et des déclarations formulées par les exploitants de ces entreprises. </t>
  </si>
  <si>
    <t>Période de l'étude</t>
  </si>
  <si>
    <t>Les données d’enquête sont prélevées, recensées, traitées, analysées et compilées au cours d’une période d’un an s’échelonnant du 1er janvier au 31 décembre d’une année civile.</t>
  </si>
  <si>
    <t>Résultats techniques</t>
  </si>
  <si>
    <t>Résultats financiers</t>
  </si>
  <si>
    <t>Bilan</t>
  </si>
  <si>
    <t>Actifs court terme</t>
  </si>
  <si>
    <t>Immobilisations</t>
  </si>
  <si>
    <t>Les dettes à long terme incluent la portion échéant au cours du prochain exercice. Les montants dus aux actionnaires sont exclus.</t>
  </si>
  <si>
    <t>L'avoir propre inclut les montants dus aux actionnaires.</t>
  </si>
  <si>
    <t>Total du passif sur le total de l'actif.</t>
  </si>
  <si>
    <t>Résultats économiques</t>
  </si>
  <si>
    <t>Inscrire la variation de la valeur des inventaires, positive ou négative, tel qu'observé dans vos états financiers. Si vos états financiers présentent un poste de variation des inventaires dans les produits, inscrivez cette valeur dans les produits. Si vos états financiers présentent un poste de variation des inventaires dans les charges, inscrivez cette valeur dans les charges. Dans l'étude sur le coût de production, les revenus et les charges liés aux variations d'inventaires sont inclus dans les postes correspondants (ex. : la variation d'inventaires des cultures est contenu dans les postes reliés aux cultures).</t>
  </si>
  <si>
    <t>Dans l'étude sur le coût de production, un amortissement selon la méthode linéaire est calculé pour chaque actif.</t>
  </si>
  <si>
    <t>Marge bénéficiaire</t>
  </si>
  <si>
    <t>Endettement</t>
  </si>
  <si>
    <t>Marge Étude de coût de production</t>
  </si>
  <si>
    <t>Marge Excel</t>
  </si>
  <si>
    <t xml:space="preserve">Le CECPA vous présente aujourd'hui, en format Excel, les résultats de son étude de coûts de production des secteurs porcins que vous pouvez consulter à l'onglet ECP 2017. </t>
  </si>
  <si>
    <t>Consultez le rapport de notre étude sur le coût de production pour en connaître les méthodologies et obtenir plus d'information sur les résultats.</t>
  </si>
  <si>
    <t>Porcelets et Porcs</t>
  </si>
  <si>
    <t>Coût de production 2017</t>
  </si>
  <si>
    <t>Indexation 2022</t>
  </si>
  <si>
    <t>par porc</t>
  </si>
  <si>
    <t>par 100 kg</t>
  </si>
  <si>
    <t>De plus, avec ce fichier, vous serez à même de comparer (onglet Comparaison) vos résultats à ceux de notre étude ou aux coûts de production indexés annuellement selon des indices reconnus. Vous avez le choix de les comparer en $/porc, en $/100 kg ou en %.</t>
  </si>
  <si>
    <t>Truies</t>
  </si>
  <si>
    <t>Porcs</t>
  </si>
  <si>
    <t>Kg de porc</t>
  </si>
  <si>
    <t>truies</t>
  </si>
  <si>
    <t>porcs</t>
  </si>
  <si>
    <t>kg</t>
  </si>
  <si>
    <t>Achats de reproducteurs</t>
  </si>
  <si>
    <t>Cochettes matures</t>
  </si>
  <si>
    <t>Cochettes &lt; 100 kg</t>
  </si>
  <si>
    <t>Verrats</t>
  </si>
  <si>
    <t>Achats et frais d'achat d'animaux</t>
  </si>
  <si>
    <t>Achats de porcelets</t>
  </si>
  <si>
    <t>Porcelets (entrés pouponnière)</t>
  </si>
  <si>
    <t>Porcelets (entrés engraissement)</t>
  </si>
  <si>
    <t>sous-total</t>
  </si>
  <si>
    <t>Aliments achetés</t>
  </si>
  <si>
    <t>Moulées pour truies et cochettes</t>
  </si>
  <si>
    <t>Moulées pour porcelets</t>
  </si>
  <si>
    <t>Moulées pour porcs</t>
  </si>
  <si>
    <t>Maïs-grain</t>
  </si>
  <si>
    <t>Céréales</t>
  </si>
  <si>
    <t>Soya (fève, tourteau, écales)</t>
  </si>
  <si>
    <t>Premix</t>
  </si>
  <si>
    <t>Suppléments</t>
  </si>
  <si>
    <t>Minéraux et acides aminés</t>
  </si>
  <si>
    <t>Médicaments pour moulées</t>
  </si>
  <si>
    <t>Autres ingrédients</t>
  </si>
  <si>
    <t>Litière</t>
  </si>
  <si>
    <t>Médicaments, vétérinaires et insémination</t>
  </si>
  <si>
    <t>Médicaments et honoraires vétérinaires</t>
  </si>
  <si>
    <t>Insémination</t>
  </si>
  <si>
    <t>$/porc</t>
  </si>
  <si>
    <t>$/100 kg</t>
  </si>
  <si>
    <t>Frais de mise en marché</t>
  </si>
  <si>
    <t>Transport des porcs à l'engrais</t>
  </si>
  <si>
    <t>Plan conjoint (agence de vente)</t>
  </si>
  <si>
    <t>Porcs hors agence (frais de vente)</t>
  </si>
  <si>
    <t>Transport des animaux de réforme</t>
  </si>
  <si>
    <t>Animaux de réforme (frais de vente)</t>
  </si>
  <si>
    <t>Intrants et frais de vente des cultures</t>
  </si>
  <si>
    <t>Semences</t>
  </si>
  <si>
    <t>Fertilisants</t>
  </si>
  <si>
    <t>Pesticides</t>
  </si>
  <si>
    <t>Autres frais cultures</t>
  </si>
  <si>
    <t>Frais de ventes - cultures</t>
  </si>
  <si>
    <t>Entretien machinerie</t>
  </si>
  <si>
    <t>Chauffage</t>
  </si>
  <si>
    <t>Chauffage porcherie</t>
  </si>
  <si>
    <t>Propane culture (annexe 1)</t>
  </si>
  <si>
    <t>Élevages forfait (porcs-porcelets-cochettes)</t>
  </si>
  <si>
    <t>Lavage, transport intersite, neige, etc.</t>
  </si>
  <si>
    <t>Disposition des lisiers à forfait</t>
  </si>
  <si>
    <t>Travaux à forfait - cultures (annexe 1)</t>
  </si>
  <si>
    <t>Location de terre</t>
  </si>
  <si>
    <t>Location machinerie et véhicules</t>
  </si>
  <si>
    <t>ASRA Truies (porcelets)</t>
  </si>
  <si>
    <t>ASRA Porcs</t>
  </si>
  <si>
    <t>ASRA canola</t>
  </si>
  <si>
    <t>ASRA blé humain</t>
  </si>
  <si>
    <t>ASRA blé fourrager</t>
  </si>
  <si>
    <t>ASRA orge</t>
  </si>
  <si>
    <t>ASRA avoine</t>
  </si>
  <si>
    <t>Assurance récolte</t>
  </si>
  <si>
    <t xml:space="preserve">Programmes Agri-stabilité </t>
  </si>
  <si>
    <t>Entretien des bâtiments et du fonds de terre</t>
  </si>
  <si>
    <t>Communications</t>
  </si>
  <si>
    <t>Honoraires professionnels</t>
  </si>
  <si>
    <t>Colloque et cours</t>
  </si>
  <si>
    <t>Cotisations à l'UPA</t>
  </si>
  <si>
    <t>Disposition des animaux morts</t>
  </si>
  <si>
    <t>Divers</t>
  </si>
  <si>
    <t>Médicaments, vétérinaire et insémination</t>
  </si>
  <si>
    <t>Sous-produits porcins</t>
  </si>
  <si>
    <t>Porcs déclassés</t>
  </si>
  <si>
    <t>Compensation retard d'abattage</t>
  </si>
  <si>
    <t>Compensation pour déplacement</t>
  </si>
  <si>
    <t>Primes pour porcs spécifiques</t>
  </si>
  <si>
    <t>SGRM</t>
  </si>
  <si>
    <t>Truies de réforme</t>
  </si>
  <si>
    <t>Verrats de réforme</t>
  </si>
  <si>
    <t>Cochettes de reproduction</t>
  </si>
  <si>
    <t>Verrats de reproduction</t>
  </si>
  <si>
    <t>Porcelets (sortis maternité)</t>
  </si>
  <si>
    <t>Porcelets (sortis pouponnière)</t>
  </si>
  <si>
    <t>Ventes de cultures et de fumier (annexe 1)</t>
  </si>
  <si>
    <t>Soya</t>
  </si>
  <si>
    <t>Canola</t>
  </si>
  <si>
    <t>Blé</t>
  </si>
  <si>
    <t>Orge</t>
  </si>
  <si>
    <t>Avoine</t>
  </si>
  <si>
    <t>Foin</t>
  </si>
  <si>
    <t>Paille</t>
  </si>
  <si>
    <t>Autres cultures</t>
  </si>
  <si>
    <t>Fumier</t>
  </si>
  <si>
    <t>Compensations des programmes (annexe 1)</t>
  </si>
  <si>
    <t>ASRA  Canola</t>
  </si>
  <si>
    <t>ASRA Avoine</t>
  </si>
  <si>
    <t>ASRA Blé humain</t>
  </si>
  <si>
    <t>ASRA Blé fourrager</t>
  </si>
  <si>
    <t>ASRA Orge</t>
  </si>
  <si>
    <t>Revenus subventions</t>
  </si>
  <si>
    <t>Revenus ristournes et intérêts</t>
  </si>
  <si>
    <t>Revenus dividendes COOP et gains boursiers</t>
  </si>
  <si>
    <t>Revenus de location de terre</t>
  </si>
  <si>
    <t>Revenus de location de bâtiments et machinerie</t>
  </si>
  <si>
    <t>Revenus d'élevage à forfait</t>
  </si>
  <si>
    <t>Revenus de travaux à forfait</t>
  </si>
  <si>
    <t>heures étalon</t>
  </si>
  <si>
    <t>Rémunération de la famille</t>
  </si>
  <si>
    <t>Rémunération des salariés</t>
  </si>
  <si>
    <t>Animaux reproducteurs</t>
  </si>
  <si>
    <t>* Avant rémunération du travail et de l'avoir propre.</t>
  </si>
  <si>
    <t>Programmes gouvernementaux (ASRA, ASREC, autres)</t>
  </si>
  <si>
    <t>V205</t>
  </si>
  <si>
    <t>P205</t>
  </si>
  <si>
    <t>AN205</t>
  </si>
  <si>
    <t>AB205</t>
  </si>
  <si>
    <t>/porc</t>
  </si>
  <si>
    <t>/100 kg</t>
  </si>
  <si>
    <t>Travaux à forfait - cultures</t>
  </si>
  <si>
    <t>RÉMUNÉRATION DU TRAVAIL</t>
  </si>
  <si>
    <t>Total de la rémunération du travail</t>
  </si>
  <si>
    <t>Ventes de cultures et de fumier</t>
  </si>
  <si>
    <t>Comprensations ASRA des cultures consommées</t>
  </si>
  <si>
    <t>Cochettes de moins de 100 kg</t>
  </si>
  <si>
    <t>Prémélanges</t>
  </si>
  <si>
    <t>Transport des animaux</t>
  </si>
  <si>
    <t>Frais de vente des cultures</t>
  </si>
  <si>
    <t>Propane</t>
  </si>
  <si>
    <t>Élevages forfait (porcs, porcelets et cochettes)</t>
  </si>
  <si>
    <t>Lavage, transport intersite, déneigement, etc.</t>
  </si>
  <si>
    <t>Machinerie et véhicules</t>
  </si>
  <si>
    <t>ASRA Truies</t>
  </si>
  <si>
    <t>ASRA blé d'alimentation humaine</t>
  </si>
  <si>
    <t>ASRA blé d'alimentation animale</t>
  </si>
  <si>
    <t>Frais comptables et professionnels</t>
  </si>
  <si>
    <t>ASRA Blé d'alimentation humaine</t>
  </si>
  <si>
    <t>ASRA Blé d'alimentation animale</t>
  </si>
  <si>
    <t>Subventions</t>
  </si>
  <si>
    <t>Ristournes et intérêts</t>
  </si>
  <si>
    <t>Location de bâtiments et machinerie</t>
  </si>
  <si>
    <t>Élevage à forfait</t>
  </si>
  <si>
    <t>/truie</t>
  </si>
  <si>
    <t>Comptes à recevoir</t>
  </si>
  <si>
    <t>Payé d'avance</t>
  </si>
  <si>
    <t>Programmes FADQ à recevoir</t>
  </si>
  <si>
    <t>Inventaires des porcs et des porcelets</t>
  </si>
  <si>
    <t>Inventaires des récoltes et des aliments</t>
  </si>
  <si>
    <t>têtes</t>
  </si>
  <si>
    <t>Truie</t>
  </si>
  <si>
    <t>Maternité</t>
  </si>
  <si>
    <t>Pouponnière</t>
  </si>
  <si>
    <t>Engraissement</t>
  </si>
  <si>
    <t>Mortalité</t>
  </si>
  <si>
    <t>Gain moyen quotidien</t>
  </si>
  <si>
    <t>Conversion alimentaire</t>
  </si>
  <si>
    <t>g/jour</t>
  </si>
  <si>
    <t>Moulée achetée</t>
  </si>
  <si>
    <t>Comparatif Porcelets et Porcs</t>
  </si>
  <si>
    <t>Inscrivez vos montants annuels totaux pour le porc dans les cases vertes. Ils seront répartis selon l'unité de présentation que vous aurez choisie.</t>
  </si>
  <si>
    <t>kg/porc</t>
  </si>
  <si>
    <t>Ventes de porcs à l'agence</t>
  </si>
  <si>
    <t>Les revenus et dépenses de même que l’acquisition et la liquidation d'actifs découlant de l’utilisation personnelle ou pour des activités agricoles non reliées à la production porcine ne sont pas considérés dans l’évaluation du coût de production.</t>
  </si>
  <si>
    <t>Le bilan des entreprises est reconstitué au 31 décembre 2017.</t>
  </si>
  <si>
    <t>Marge avant rémunération du travail et de l'avoir propre. Autrement dit, la valeur affichée dans cette case correspond à l'argent qu'il reste pour rémunérer les exploitants, la famille, les salariés et l'avoir des propriétaires.</t>
  </si>
  <si>
    <t>Compensations des programmes d'assurance stabilisation des revenus agricoles (ASRA) et des programmes Agri (Agri-Stabilité, Agri-Investissement, Agri-Québec) pour l'année 2017.</t>
  </si>
  <si>
    <t>Les immobilisations (animaux reproducteurs, fonds de terre, bâtiments, machinerie, équipements et matériel roulant) sont présentées à la valeur aux livres (coût d'acquisition amorti).</t>
  </si>
  <si>
    <t>Encaisse, comptes à recevoir, frais payés d'avance, valeur des inventaires de porcs, de porcelets, de récoltes et d'aliments. Des montants unitaires standardisés ont été utilisés afin de déterminer la valeur des inventaires.</t>
  </si>
  <si>
    <t>Truies à l'inventaire</t>
  </si>
  <si>
    <t>Nombre moyen de truies productives et de cochettes de plus de 100 kg figurant aux inventaires mensuels.</t>
  </si>
  <si>
    <t>Afficher pour voir</t>
  </si>
  <si>
    <t>Pour plus d'informations, se référer au rapport complet de l'étude de coût de production.</t>
  </si>
  <si>
    <r>
      <t xml:space="preserve">Pour toutes les études de coûts de production qu'il réalise, le CECPA procède à une analyse de conjoncture économique. Dans la présente étude, la période 2008-2017 a été évaluée comme une période de conjoncture économique exceptionnelle ayant influencé les investissements des entreprises. </t>
    </r>
    <r>
      <rPr>
        <b/>
        <sz val="10"/>
        <rFont val="Century Gothic"/>
        <family val="2"/>
      </rPr>
      <t>Les ajustements spécifiques de l'amortissement sont inclus dans les résultats présentés dans ce fichier</t>
    </r>
    <r>
      <rPr>
        <sz val="10"/>
        <rFont val="Century Gothic"/>
        <family val="2"/>
      </rPr>
      <t>. Pour plus d'informations, se référer au rapport complet de l'étude de coût de production.</t>
    </r>
  </si>
  <si>
    <t>Revenus porcins</t>
  </si>
  <si>
    <t>Revenus pronevant de la production porcine incluant les ventes de porcs, de porcelets et de sujets de réforme.</t>
  </si>
  <si>
    <t>Inclut tous les autres revenus tels que la vente de cultures et de fumier, la location et le forfait de faible importance, les intérêts, les ristournes, les subventions et autres.</t>
  </si>
  <si>
    <t>Nombre de porcs de plus de 65 kg vendus à l'agence.</t>
  </si>
  <si>
    <t>Nombre de kilogrammes carcasse vendus.</t>
  </si>
  <si>
    <t>Kilogrammes</t>
  </si>
  <si>
    <t>L’utilisation du contenu demeure sous l’entière responsabilité des usagers. Le CECPA n’est aucunement responsable de toute inexactitude, erreur, omission ou faute qui pourrait découler, directement ou indirectement, de son utilisation. De même, le CECPA n'assume aucune responsabilité quant à l'indexation des données qui est sujette à changements selon la disponibilité des indices.</t>
  </si>
  <si>
    <t>Les résultats présentés comportent certaines limites dans leur interprétation. La proportion d'aliments achetés ou fabriqués, l'utilisation de l'élevage à forfait et plusieurs autres facteurs peuvent influencer les résultats présentés d'une entreprise.</t>
  </si>
  <si>
    <t>Variation des inventaires d'animaux</t>
  </si>
  <si>
    <t>Variation des inventaires de cultures</t>
  </si>
  <si>
    <t>Bien-être animal (2019)</t>
  </si>
  <si>
    <t>ASRA $/porc</t>
  </si>
  <si>
    <t>ASRA $/truie</t>
  </si>
  <si>
    <t>Vérification FADQ</t>
  </si>
  <si>
    <t>Frais variables</t>
  </si>
  <si>
    <t>Frais variables + programmes</t>
  </si>
  <si>
    <t>Frais fixes</t>
  </si>
  <si>
    <t>Sous-produits</t>
  </si>
  <si>
    <t>Frais monétaires</t>
  </si>
  <si>
    <t>Frais non monétaires</t>
  </si>
  <si>
    <t>Coût de production</t>
  </si>
  <si>
    <t>Annualisation</t>
  </si>
  <si>
    <t>Inclut dans les fertilisants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</si>
</sst>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0.00\ &quot;$&quot;_);\(#,##0.00\ &quot;$&quot;\)"/>
    <numFmt numFmtId="44" formatCode="_ * #,##0.00_)\ &quot;$&quot;_ ;_ * \(#,##0.00\)\ &quot;$&quot;_ ;_ * &quot;-&quot;??_)\ &quot;$&quot;_ ;_ @_ "/>
    <numFmt numFmtId="164" formatCode="_ * #,##0.00_)\ _$_ ;_ * \(#,##0.00\)\ _$_ ;_ * &quot;-&quot;??_)\ _$_ ;_ @_ "/>
    <numFmt numFmtId="165" formatCode="0.0"/>
    <numFmt numFmtId="166" formatCode="_ * #,##0_)\ &quot;$&quot;_ ;_ * \(#,##0\)\ &quot;$&quot;_ ;_ * &quot;-&quot;??_)\ &quot;$&quot;_ ;_ @_ "/>
    <numFmt numFmtId="167" formatCode="#,##0_ ;_;\ &quot;&quot;\ ;"/>
    <numFmt numFmtId="168" formatCode="#,##0.0"/>
    <numFmt numFmtId="169" formatCode="_ * #,##0_)\ _$_ ;_ * \(#,##0\)\ _$_ ;_ * &quot;-&quot;??_)\ _$_ ;_ @_ "/>
    <numFmt numFmtId="170" formatCode="0.0%"/>
    <numFmt numFmtId="171" formatCode="#,##0.00\ &quot;$&quot;"/>
    <numFmt numFmtId="172" formatCode="#,##0.0000\ &quot;$&quot;"/>
    <numFmt numFmtId="173" formatCode="_ * #,##0.0_)\ &quot;$&quot;_ ;_ * \(#,##0.0\)\ &quot;$&quot;_ ;_ * &quot;-&quot;?_)\ &quot;$&quot;_ ;_ @_ "/>
    <numFmt numFmtId="174" formatCode="&quot;&quot;0.0&quot; porcs/truie&quot;"/>
    <numFmt numFmtId="175" formatCode="_ * #,##0.00000_)\ &quot;$&quot;_ ;_ * \(#,##0.00000\)\ &quot;$&quot;_ ;_ * &quot;-&quot;??_)\ &quot;$&quot;_ ;_ @_ "/>
  </numFmts>
  <fonts count="63">
    <font>
      <sz val="11"/>
      <color theme="1"/>
      <name val="Arial"/>
      <family val="2"/>
    </font>
    <font>
      <sz val="10"/>
      <color theme="1"/>
      <name val="Century Gothic"/>
      <family val="2"/>
    </font>
    <font>
      <sz val="11"/>
      <color theme="1"/>
      <name val="Arial"/>
      <family val="2"/>
    </font>
    <font>
      <sz val="10"/>
      <color theme="1"/>
      <name val="Trebuchet MS"/>
      <family val="2"/>
    </font>
    <font>
      <sz val="28"/>
      <color theme="1"/>
      <name val="Century Gothic"/>
      <family val="2"/>
    </font>
    <font>
      <sz val="10"/>
      <color theme="1"/>
      <name val="Century Gothic"/>
      <family val="2"/>
    </font>
    <font>
      <sz val="10"/>
      <color theme="5"/>
      <name val="Century Gothic"/>
      <family val="2"/>
    </font>
    <font>
      <sz val="10"/>
      <color rgb="FF37B94B"/>
      <name val="Century Gothic"/>
      <family val="2"/>
    </font>
    <font>
      <b/>
      <sz val="10"/>
      <color theme="1"/>
      <name val="Century Gothic"/>
      <family val="2"/>
    </font>
    <font>
      <b/>
      <i/>
      <sz val="10"/>
      <color theme="1"/>
      <name val="Century Gothic"/>
      <family val="2"/>
    </font>
    <font>
      <sz val="10"/>
      <color theme="0"/>
      <name val="Century Gothic"/>
      <family val="2"/>
    </font>
    <font>
      <sz val="10"/>
      <color theme="1" tint="0.499984740745262"/>
      <name val="Century Gothic"/>
      <family val="2"/>
    </font>
    <font>
      <b/>
      <sz val="9"/>
      <color theme="1"/>
      <name val="Century Gothic"/>
      <family val="2"/>
    </font>
    <font>
      <i/>
      <sz val="10"/>
      <color theme="1"/>
      <name val="Century Gothic"/>
      <family val="2"/>
    </font>
    <font>
      <sz val="11"/>
      <color theme="1"/>
      <name val="Century Gothic"/>
      <family val="2"/>
    </font>
    <font>
      <b/>
      <sz val="10"/>
      <color theme="1"/>
      <name val="Trebuchet MS"/>
      <family val="2"/>
    </font>
    <font>
      <b/>
      <sz val="10"/>
      <color theme="0"/>
      <name val="Century Gothic"/>
      <family val="2"/>
    </font>
    <font>
      <sz val="10"/>
      <name val="Century Gothic"/>
      <family val="2"/>
    </font>
    <font>
      <sz val="10"/>
      <name val="Trebuchet MS"/>
      <family val="2"/>
    </font>
    <font>
      <b/>
      <sz val="10"/>
      <name val="Century Gothic"/>
      <family val="2"/>
    </font>
    <font>
      <b/>
      <sz val="10"/>
      <color rgb="FF215868"/>
      <name val="Century Gothic"/>
      <family val="2"/>
    </font>
    <font>
      <b/>
      <sz val="10"/>
      <name val="Trebuchet MS"/>
      <family val="2"/>
    </font>
    <font>
      <sz val="10"/>
      <color theme="0"/>
      <name val="Trebuchet MS"/>
      <family val="2"/>
    </font>
    <font>
      <sz val="11"/>
      <color theme="1"/>
      <name val="Trebuchet MS"/>
      <family val="2"/>
    </font>
    <font>
      <sz val="10"/>
      <color rgb="FF404040"/>
      <name val="Trebuchet MS"/>
      <family val="2"/>
    </font>
    <font>
      <b/>
      <sz val="10"/>
      <color theme="5" tint="-0.249977111117893"/>
      <name val="Trebuchet MS"/>
      <family val="2"/>
    </font>
    <font>
      <sz val="10"/>
      <color theme="4" tint="-0.499984740745262"/>
      <name val="Trebuchet MS"/>
      <family val="2"/>
    </font>
    <font>
      <sz val="9"/>
      <color rgb="FF404040"/>
      <name val="Trebuchet MS"/>
      <family val="2"/>
    </font>
    <font>
      <b/>
      <sz val="10"/>
      <color rgb="FF404040"/>
      <name val="Trebuchet MS"/>
      <family val="2"/>
    </font>
    <font>
      <sz val="10"/>
      <color rgb="FF404040"/>
      <name val="Arial"/>
      <family val="2"/>
    </font>
    <font>
      <sz val="9"/>
      <color theme="1"/>
      <name val="Arial"/>
      <family val="2"/>
    </font>
    <font>
      <b/>
      <sz val="10"/>
      <color theme="1"/>
      <name val="Arial"/>
      <family val="2"/>
    </font>
    <font>
      <b/>
      <sz val="10"/>
      <color theme="0" tint="-4.9989318521683403E-2"/>
      <name val="Trebuchet MS"/>
      <family val="2"/>
    </font>
    <font>
      <b/>
      <sz val="10"/>
      <color theme="4" tint="-0.499984740745262"/>
      <name val="Trebuchet MS"/>
      <family val="2"/>
    </font>
    <font>
      <sz val="11"/>
      <color indexed="8"/>
      <name val="Arial"/>
      <family val="2"/>
    </font>
    <font>
      <sz val="28"/>
      <color theme="1"/>
      <name val="Gotham Black"/>
      <family val="3"/>
    </font>
    <font>
      <sz val="11"/>
      <color theme="1"/>
      <name val="Gotham"/>
    </font>
    <font>
      <b/>
      <sz val="11"/>
      <color theme="1"/>
      <name val="Arial"/>
      <family val="2"/>
    </font>
    <font>
      <sz val="14"/>
      <color theme="1"/>
      <name val="Century Gothic"/>
      <family val="2"/>
    </font>
    <font>
      <b/>
      <sz val="11"/>
      <color theme="1"/>
      <name val="Century Gothic"/>
      <family val="2"/>
    </font>
    <font>
      <u/>
      <sz val="11"/>
      <color theme="10"/>
      <name val="Arial"/>
      <family val="2"/>
    </font>
    <font>
      <sz val="10"/>
      <color theme="1" tint="0.34998626667073579"/>
      <name val="Century Gothic"/>
      <family val="2"/>
    </font>
    <font>
      <sz val="9"/>
      <color theme="1" tint="0.499984740745262"/>
      <name val="Century Gothic"/>
      <family val="2"/>
    </font>
    <font>
      <sz val="9"/>
      <color theme="1"/>
      <name val="Century Gothic"/>
      <family val="2"/>
    </font>
    <font>
      <sz val="10"/>
      <color rgb="FF215868"/>
      <name val="Century Gothic"/>
      <family val="2"/>
    </font>
    <font>
      <b/>
      <sz val="10"/>
      <color theme="1" tint="0.499984740745262"/>
      <name val="Century Gothic"/>
      <family val="2"/>
    </font>
    <font>
      <b/>
      <i/>
      <sz val="10"/>
      <color theme="0"/>
      <name val="Century Gothic"/>
      <family val="2"/>
    </font>
    <font>
      <sz val="11"/>
      <color theme="1" tint="0.499984740745262"/>
      <name val="Trebuchet MS"/>
      <family val="2"/>
    </font>
    <font>
      <sz val="11"/>
      <color theme="1" tint="0.499984740745262"/>
      <name val="Arial"/>
      <family val="2"/>
    </font>
    <font>
      <b/>
      <sz val="11"/>
      <color theme="1"/>
      <name val="Trebuchet MS"/>
      <family val="2"/>
    </font>
    <font>
      <sz val="11"/>
      <name val="Century Gothic"/>
      <family val="2"/>
    </font>
    <font>
      <b/>
      <i/>
      <sz val="10"/>
      <name val="Century Gothic"/>
      <family val="2"/>
    </font>
    <font>
      <b/>
      <u/>
      <sz val="10"/>
      <color rgb="FF404040"/>
      <name val="Trebuchet MS"/>
      <family val="2"/>
    </font>
    <font>
      <sz val="10"/>
      <name val="Gotham"/>
    </font>
    <font>
      <b/>
      <sz val="10"/>
      <color theme="1"/>
      <name val="Gotham"/>
    </font>
    <font>
      <sz val="9"/>
      <color indexed="81"/>
      <name val="Tahoma"/>
      <family val="2"/>
    </font>
    <font>
      <b/>
      <sz val="9"/>
      <color indexed="81"/>
      <name val="Tahoma"/>
      <family val="2"/>
    </font>
    <font>
      <u/>
      <sz val="11"/>
      <name val="Arial"/>
      <family val="2"/>
    </font>
    <font>
      <u/>
      <sz val="11"/>
      <color rgb="FF37B94B"/>
      <name val="Arial"/>
      <family val="2"/>
    </font>
    <font>
      <sz val="36"/>
      <color theme="1"/>
      <name val="Century Gothic"/>
      <family val="2"/>
    </font>
    <font>
      <sz val="16"/>
      <color theme="1"/>
      <name val="Century Gothic"/>
      <family val="2"/>
    </font>
    <font>
      <sz val="9"/>
      <color indexed="81"/>
      <name val="Tahoma"/>
      <charset val="1"/>
    </font>
    <font>
      <b/>
      <sz val="9"/>
      <color indexed="81"/>
      <name val="Tahoma"/>
      <charset val="1"/>
    </font>
  </fonts>
  <fills count="20">
    <fill>
      <patternFill patternType="none"/>
    </fill>
    <fill>
      <patternFill patternType="gray125"/>
    </fill>
    <fill>
      <patternFill patternType="solid">
        <fgColor rgb="FF92D050"/>
        <bgColor indexed="64"/>
      </patternFill>
    </fill>
    <fill>
      <patternFill patternType="solid">
        <fgColor rgb="FF37B94B"/>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theme="8"/>
        <bgColor indexed="64"/>
      </patternFill>
    </fill>
    <fill>
      <patternFill patternType="solid">
        <fgColor rgb="FFC91F0D"/>
        <bgColor indexed="64"/>
      </patternFill>
    </fill>
    <fill>
      <patternFill patternType="solid">
        <fgColor rgb="FF0070C0"/>
        <bgColor indexed="64"/>
      </patternFill>
    </fill>
    <fill>
      <patternFill patternType="solid">
        <fgColor rgb="FFE8E8E8"/>
        <bgColor indexed="64"/>
      </patternFill>
    </fill>
    <fill>
      <patternFill patternType="solid">
        <fgColor theme="4" tint="0.59999389629810485"/>
        <bgColor indexed="64"/>
      </patternFill>
    </fill>
    <fill>
      <patternFill patternType="solid">
        <fgColor theme="9" tint="0.59999389629810485"/>
        <bgColor indexed="64"/>
      </patternFill>
    </fill>
  </fills>
  <borders count="42">
    <border>
      <left/>
      <right/>
      <top/>
      <bottom/>
      <diagonal/>
    </border>
    <border>
      <left/>
      <right/>
      <top/>
      <bottom style="thin">
        <color theme="1" tint="0.499984740745262"/>
      </bottom>
      <diagonal/>
    </border>
    <border>
      <left/>
      <right/>
      <top style="thin">
        <color theme="1" tint="0.499984740745262"/>
      </top>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medium">
        <color rgb="FF37B94B"/>
      </bottom>
      <diagonal/>
    </border>
    <border>
      <left/>
      <right/>
      <top/>
      <bottom style="thin">
        <color rgb="FF37B94B"/>
      </bottom>
      <diagonal/>
    </border>
    <border>
      <left/>
      <right style="thin">
        <color theme="1" tint="0.499984740745262"/>
      </right>
      <top/>
      <bottom/>
      <diagonal/>
    </border>
    <border>
      <left/>
      <right style="thin">
        <color theme="1" tint="0.499984740745262"/>
      </right>
      <top/>
      <bottom style="thin">
        <color theme="1" tint="0.499984740745262"/>
      </bottom>
      <diagonal/>
    </border>
    <border>
      <left/>
      <right/>
      <top/>
      <bottom style="thin">
        <color theme="0" tint="-0.24994659260841701"/>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diagonal/>
    </border>
    <border>
      <left style="medium">
        <color indexed="64"/>
      </left>
      <right style="medium">
        <color indexed="64"/>
      </right>
      <top/>
      <bottom style="thin">
        <color theme="1" tint="0.499984740745262"/>
      </bottom>
      <diagonal/>
    </border>
    <border>
      <left/>
      <right/>
      <top style="medium">
        <color rgb="FF37B94B"/>
      </top>
      <bottom style="thin">
        <color rgb="FF37B94B"/>
      </bottom>
      <diagonal/>
    </border>
    <border>
      <left/>
      <right style="thin">
        <color theme="1" tint="0.499984740745262"/>
      </right>
      <top/>
      <bottom style="thin">
        <color rgb="FF37B94B"/>
      </bottom>
      <diagonal/>
    </border>
    <border>
      <left/>
      <right/>
      <top style="thin">
        <color rgb="FF37B94B"/>
      </top>
      <bottom/>
      <diagonal/>
    </border>
    <border>
      <left style="medium">
        <color indexed="64"/>
      </left>
      <right style="medium">
        <color indexed="64"/>
      </right>
      <top/>
      <bottom style="medium">
        <color indexed="64"/>
      </bottom>
      <diagonal/>
    </border>
  </borders>
  <cellStyleXfs count="6">
    <xf numFmtId="0" fontId="0" fillId="0" borderId="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0" fontId="40" fillId="0" borderId="0" applyNumberFormat="0" applyFill="0" applyBorder="0" applyAlignment="0" applyProtection="0">
      <alignment vertical="top"/>
      <protection locked="0"/>
    </xf>
  </cellStyleXfs>
  <cellXfs count="669">
    <xf numFmtId="0" fontId="0" fillId="0" borderId="0" xfId="0"/>
    <xf numFmtId="3" fontId="5" fillId="2" borderId="0" xfId="1" applyNumberFormat="1" applyFont="1" applyFill="1" applyBorder="1" applyAlignment="1" applyProtection="1">
      <alignment horizontal="center"/>
      <protection locked="0"/>
    </xf>
    <xf numFmtId="166" fontId="5" fillId="2" borderId="0" xfId="2" applyNumberFormat="1" applyFont="1" applyFill="1" applyProtection="1">
      <protection locked="0"/>
    </xf>
    <xf numFmtId="166" fontId="5" fillId="2" borderId="0" xfId="0" applyNumberFormat="1" applyFont="1" applyFill="1" applyProtection="1">
      <protection locked="0"/>
    </xf>
    <xf numFmtId="0" fontId="16" fillId="3" borderId="0" xfId="0" applyFont="1" applyFill="1" applyBorder="1" applyProtection="1"/>
    <xf numFmtId="0" fontId="8" fillId="3" borderId="8" xfId="0" applyFont="1" applyFill="1" applyBorder="1" applyProtection="1"/>
    <xf numFmtId="0" fontId="8" fillId="3" borderId="0" xfId="0" applyFont="1" applyFill="1" applyBorder="1" applyProtection="1"/>
    <xf numFmtId="166" fontId="8" fillId="3" borderId="0" xfId="0" applyNumberFormat="1" applyFont="1" applyFill="1" applyBorder="1" applyProtection="1"/>
    <xf numFmtId="44" fontId="8" fillId="3" borderId="0" xfId="0" applyNumberFormat="1" applyFont="1" applyFill="1" applyBorder="1" applyProtection="1"/>
    <xf numFmtId="0" fontId="5" fillId="3" borderId="8" xfId="0" applyFont="1" applyFill="1" applyBorder="1" applyProtection="1"/>
    <xf numFmtId="166" fontId="8" fillId="3" borderId="0" xfId="2" applyNumberFormat="1" applyFont="1" applyFill="1" applyBorder="1" applyAlignment="1" applyProtection="1">
      <alignment horizontal="left"/>
    </xf>
    <xf numFmtId="166" fontId="5" fillId="3" borderId="0" xfId="0" applyNumberFormat="1" applyFont="1" applyFill="1" applyBorder="1" applyProtection="1"/>
    <xf numFmtId="44" fontId="8" fillId="3" borderId="0" xfId="2" applyNumberFormat="1" applyFont="1" applyFill="1" applyBorder="1" applyAlignment="1" applyProtection="1">
      <alignment horizontal="left"/>
    </xf>
    <xf numFmtId="44" fontId="8" fillId="3" borderId="0" xfId="0" applyNumberFormat="1" applyFont="1" applyFill="1" applyBorder="1" applyAlignment="1" applyProtection="1">
      <alignment horizontal="left"/>
    </xf>
    <xf numFmtId="166" fontId="8" fillId="3" borderId="0" xfId="0" applyNumberFormat="1" applyFont="1" applyFill="1" applyBorder="1" applyAlignment="1" applyProtection="1">
      <alignment horizontal="left"/>
    </xf>
    <xf numFmtId="0" fontId="23" fillId="5" borderId="0" xfId="0" applyFont="1" applyFill="1" applyBorder="1"/>
    <xf numFmtId="0" fontId="3" fillId="5" borderId="0" xfId="0" applyFont="1" applyFill="1" applyBorder="1"/>
    <xf numFmtId="0" fontId="21" fillId="4" borderId="11" xfId="0" applyFont="1" applyFill="1" applyBorder="1" applyAlignment="1">
      <alignment horizontal="left" vertical="center" indent="1"/>
    </xf>
    <xf numFmtId="0" fontId="21" fillId="4" borderId="12" xfId="0" applyFont="1" applyFill="1" applyBorder="1" applyAlignment="1">
      <alignment horizontal="left" vertical="center" indent="1"/>
    </xf>
    <xf numFmtId="0" fontId="24" fillId="0" borderId="0" xfId="0" applyFont="1" applyFill="1"/>
    <xf numFmtId="0" fontId="24" fillId="0" borderId="0" xfId="0" applyFont="1" applyFill="1" applyBorder="1"/>
    <xf numFmtId="0" fontId="15" fillId="0" borderId="0" xfId="0" applyFont="1"/>
    <xf numFmtId="0" fontId="24" fillId="0" borderId="13" xfId="0" applyFont="1" applyFill="1" applyBorder="1"/>
    <xf numFmtId="0" fontId="24" fillId="0" borderId="2" xfId="0" applyFont="1" applyFill="1" applyBorder="1" applyAlignment="1">
      <alignment horizontal="left"/>
    </xf>
    <xf numFmtId="0" fontId="24" fillId="0" borderId="14" xfId="0" applyFont="1" applyFill="1" applyBorder="1"/>
    <xf numFmtId="0" fontId="24" fillId="0" borderId="0" xfId="0" applyFont="1" applyFill="1" applyBorder="1" applyAlignment="1"/>
    <xf numFmtId="0" fontId="24" fillId="0" borderId="15" xfId="0" applyFont="1" applyFill="1" applyBorder="1" applyAlignment="1">
      <alignment horizontal="left" indent="1"/>
    </xf>
    <xf numFmtId="167" fontId="25" fillId="0" borderId="1" xfId="0" applyNumberFormat="1" applyFont="1" applyFill="1" applyBorder="1" applyAlignment="1">
      <alignment horizontal="left"/>
    </xf>
    <xf numFmtId="0" fontId="3" fillId="0" borderId="0" xfId="0" applyFont="1" applyBorder="1"/>
    <xf numFmtId="0" fontId="15" fillId="0" borderId="0" xfId="0" applyFont="1" applyBorder="1"/>
    <xf numFmtId="0" fontId="24" fillId="0" borderId="2" xfId="0" applyFont="1" applyFill="1" applyBorder="1" applyAlignment="1"/>
    <xf numFmtId="0" fontId="24" fillId="0" borderId="15" xfId="0" applyFont="1" applyFill="1" applyBorder="1"/>
    <xf numFmtId="0" fontId="3" fillId="0" borderId="0" xfId="0" applyFont="1" applyFill="1" applyBorder="1"/>
    <xf numFmtId="0" fontId="15" fillId="0" borderId="0" xfId="0" applyFont="1" applyFill="1" applyBorder="1"/>
    <xf numFmtId="0" fontId="26" fillId="0" borderId="0" xfId="0" applyFont="1" applyFill="1" applyBorder="1" applyAlignment="1">
      <alignment horizontal="left" indent="1"/>
    </xf>
    <xf numFmtId="167" fontId="26" fillId="0" borderId="0" xfId="0" applyNumberFormat="1" applyFont="1" applyFill="1" applyBorder="1" applyAlignment="1">
      <alignment horizontal="right" indent="2"/>
    </xf>
    <xf numFmtId="167" fontId="26" fillId="0" borderId="0" xfId="0" applyNumberFormat="1" applyFont="1" applyFill="1" applyBorder="1" applyAlignment="1">
      <alignment horizontal="left" indent="2"/>
    </xf>
    <xf numFmtId="0" fontId="3" fillId="0" borderId="13" xfId="0" applyFont="1" applyFill="1" applyBorder="1"/>
    <xf numFmtId="0" fontId="3" fillId="0" borderId="14" xfId="0" applyFont="1" applyFill="1" applyBorder="1"/>
    <xf numFmtId="0" fontId="26" fillId="0" borderId="15" xfId="0" applyFont="1" applyFill="1" applyBorder="1" applyAlignment="1">
      <alignment horizontal="left" indent="1"/>
    </xf>
    <xf numFmtId="0" fontId="27" fillId="0" borderId="0" xfId="0" applyFont="1" applyFill="1" applyBorder="1" applyAlignment="1"/>
    <xf numFmtId="0" fontId="3" fillId="0" borderId="0" xfId="0" applyFont="1"/>
    <xf numFmtId="167" fontId="26" fillId="0" borderId="0" xfId="0" applyNumberFormat="1" applyFont="1" applyFill="1" applyBorder="1" applyAlignment="1">
      <alignment horizontal="center"/>
    </xf>
    <xf numFmtId="0" fontId="27" fillId="0" borderId="0" xfId="0" applyFont="1" applyFill="1" applyBorder="1" applyAlignment="1">
      <alignment horizontal="left"/>
    </xf>
    <xf numFmtId="0" fontId="24" fillId="0" borderId="0" xfId="0" applyFont="1" applyFill="1" applyBorder="1" applyAlignment="1">
      <alignment horizontal="left"/>
    </xf>
    <xf numFmtId="0" fontId="28" fillId="6" borderId="13" xfId="0" applyFont="1" applyFill="1" applyBorder="1" applyAlignment="1">
      <alignment horizontal="left" vertical="center" indent="1"/>
    </xf>
    <xf numFmtId="0" fontId="28" fillId="6" borderId="2" xfId="0" applyFont="1" applyFill="1" applyBorder="1" applyAlignment="1">
      <alignment vertical="center"/>
    </xf>
    <xf numFmtId="0" fontId="29" fillId="0" borderId="14" xfId="0" applyFont="1" applyFill="1" applyBorder="1"/>
    <xf numFmtId="2" fontId="24" fillId="0" borderId="0" xfId="2" applyNumberFormat="1" applyFont="1" applyFill="1" applyBorder="1" applyAlignment="1">
      <alignment horizontal="center"/>
    </xf>
    <xf numFmtId="0" fontId="29" fillId="0" borderId="0" xfId="0" applyFont="1" applyFill="1" applyBorder="1"/>
    <xf numFmtId="0" fontId="28" fillId="6" borderId="14" xfId="0" applyFont="1" applyFill="1" applyBorder="1" applyAlignment="1">
      <alignment horizontal="left" vertical="center" indent="1"/>
    </xf>
    <xf numFmtId="0" fontId="28" fillId="6" borderId="0" xfId="0" applyFont="1" applyFill="1" applyBorder="1" applyAlignment="1">
      <alignment vertical="center"/>
    </xf>
    <xf numFmtId="0" fontId="24" fillId="0" borderId="0" xfId="0" applyFont="1" applyFill="1" applyBorder="1" applyAlignment="1">
      <alignment horizontal="left" indent="1"/>
    </xf>
    <xf numFmtId="0" fontId="24" fillId="6" borderId="14" xfId="0" applyFont="1" applyFill="1" applyBorder="1" applyAlignment="1"/>
    <xf numFmtId="0" fontId="18" fillId="0" borderId="14" xfId="0" applyFont="1" applyFill="1" applyBorder="1" applyAlignment="1"/>
    <xf numFmtId="0" fontId="24" fillId="0" borderId="0" xfId="0" applyFont="1" applyFill="1" applyBorder="1" applyAlignment="1">
      <alignment horizontal="right"/>
    </xf>
    <xf numFmtId="0" fontId="23" fillId="0" borderId="0" xfId="0" applyFont="1"/>
    <xf numFmtId="0" fontId="0" fillId="0" borderId="0" xfId="0" applyFill="1"/>
    <xf numFmtId="0" fontId="21" fillId="4" borderId="16" xfId="0" applyFont="1" applyFill="1" applyBorder="1" applyAlignment="1">
      <alignment horizontal="left" vertical="center"/>
    </xf>
    <xf numFmtId="0" fontId="30" fillId="0" borderId="0" xfId="0" applyFont="1" applyFill="1" applyBorder="1"/>
    <xf numFmtId="3" fontId="24" fillId="0" borderId="0" xfId="0" applyNumberFormat="1" applyFont="1" applyFill="1" applyBorder="1" applyAlignment="1">
      <alignment horizontal="center"/>
    </xf>
    <xf numFmtId="168" fontId="24" fillId="0" borderId="0" xfId="0" applyNumberFormat="1" applyFont="1" applyFill="1" applyBorder="1" applyAlignment="1">
      <alignment horizontal="center"/>
    </xf>
    <xf numFmtId="2" fontId="24" fillId="0" borderId="0" xfId="0" applyNumberFormat="1" applyFont="1" applyFill="1" applyAlignment="1">
      <alignment horizontal="center"/>
    </xf>
    <xf numFmtId="169" fontId="24" fillId="0" borderId="0" xfId="1" applyNumberFormat="1" applyFont="1" applyFill="1" applyBorder="1" applyAlignment="1">
      <alignment horizontal="center"/>
    </xf>
    <xf numFmtId="165" fontId="24" fillId="0" borderId="0" xfId="0" applyNumberFormat="1" applyFont="1" applyFill="1" applyBorder="1" applyAlignment="1">
      <alignment horizontal="center"/>
    </xf>
    <xf numFmtId="165" fontId="24" fillId="0" borderId="0" xfId="0" applyNumberFormat="1" applyFont="1" applyFill="1" applyAlignment="1">
      <alignment horizontal="center"/>
    </xf>
    <xf numFmtId="1" fontId="24" fillId="0" borderId="0" xfId="0" applyNumberFormat="1" applyFont="1" applyFill="1" applyBorder="1" applyAlignment="1">
      <alignment horizontal="center"/>
    </xf>
    <xf numFmtId="170" fontId="24" fillId="0" borderId="0" xfId="3" applyNumberFormat="1" applyFont="1" applyFill="1" applyBorder="1" applyAlignment="1">
      <alignment horizontal="center"/>
    </xf>
    <xf numFmtId="0" fontId="21" fillId="4" borderId="16" xfId="0" applyFont="1" applyFill="1" applyBorder="1" applyAlignment="1">
      <alignment horizontal="center" vertical="center"/>
    </xf>
    <xf numFmtId="0" fontId="31" fillId="4" borderId="17" xfId="0" applyFont="1" applyFill="1" applyBorder="1" applyAlignment="1">
      <alignment horizontal="center"/>
    </xf>
    <xf numFmtId="165" fontId="24" fillId="0" borderId="2" xfId="0" applyNumberFormat="1" applyFont="1" applyFill="1" applyBorder="1" applyAlignment="1">
      <alignment horizontal="left"/>
    </xf>
    <xf numFmtId="44" fontId="24" fillId="0" borderId="2" xfId="2" applyFont="1" applyFill="1" applyBorder="1" applyAlignment="1">
      <alignment horizontal="center"/>
    </xf>
    <xf numFmtId="166" fontId="24" fillId="0" borderId="18" xfId="2" applyNumberFormat="1" applyFont="1" applyFill="1" applyBorder="1" applyAlignment="1">
      <alignment horizontal="center"/>
    </xf>
    <xf numFmtId="44" fontId="24" fillId="0" borderId="19" xfId="2" applyNumberFormat="1" applyFont="1" applyFill="1" applyBorder="1" applyAlignment="1">
      <alignment horizontal="center"/>
    </xf>
    <xf numFmtId="166" fontId="24" fillId="0" borderId="8" xfId="2" applyNumberFormat="1" applyFont="1" applyFill="1" applyBorder="1" applyAlignment="1">
      <alignment horizontal="center"/>
    </xf>
    <xf numFmtId="44" fontId="24" fillId="0" borderId="20" xfId="2" applyNumberFormat="1" applyFont="1" applyFill="1" applyBorder="1" applyAlignment="1">
      <alignment horizontal="center"/>
    </xf>
    <xf numFmtId="2" fontId="25" fillId="0" borderId="1" xfId="2" applyNumberFormat="1" applyFont="1" applyFill="1" applyBorder="1" applyAlignment="1">
      <alignment horizontal="center"/>
    </xf>
    <xf numFmtId="2" fontId="25" fillId="0" borderId="1" xfId="0" applyNumberFormat="1" applyFont="1" applyFill="1" applyBorder="1" applyAlignment="1">
      <alignment horizontal="center"/>
    </xf>
    <xf numFmtId="166" fontId="25" fillId="0" borderId="9" xfId="2" applyNumberFormat="1" applyFont="1" applyFill="1" applyBorder="1" applyAlignment="1">
      <alignment horizontal="center"/>
    </xf>
    <xf numFmtId="0" fontId="25" fillId="0" borderId="0" xfId="0" applyFont="1" applyFill="1" applyBorder="1"/>
    <xf numFmtId="44" fontId="25" fillId="0" borderId="21" xfId="2" applyNumberFormat="1" applyFont="1" applyFill="1" applyBorder="1" applyAlignment="1">
      <alignment horizontal="center"/>
    </xf>
    <xf numFmtId="4" fontId="24" fillId="0" borderId="2" xfId="0" applyNumberFormat="1" applyFont="1" applyFill="1" applyBorder="1" applyAlignment="1">
      <alignment horizontal="center"/>
    </xf>
    <xf numFmtId="0" fontId="24" fillId="0" borderId="2" xfId="0" applyFont="1" applyFill="1" applyBorder="1"/>
    <xf numFmtId="4" fontId="24" fillId="0" borderId="0" xfId="0" applyNumberFormat="1" applyFont="1" applyFill="1" applyBorder="1" applyAlignment="1">
      <alignment horizontal="center"/>
    </xf>
    <xf numFmtId="2" fontId="28" fillId="0" borderId="1" xfId="2" applyNumberFormat="1" applyFont="1" applyFill="1" applyBorder="1" applyAlignment="1">
      <alignment horizontal="center"/>
    </xf>
    <xf numFmtId="2" fontId="28" fillId="0" borderId="1" xfId="0" applyNumberFormat="1" applyFont="1" applyFill="1" applyBorder="1" applyAlignment="1">
      <alignment horizontal="center"/>
    </xf>
    <xf numFmtId="0" fontId="28" fillId="0" borderId="0" xfId="0" applyFont="1" applyFill="1" applyBorder="1"/>
    <xf numFmtId="166" fontId="24" fillId="0" borderId="2" xfId="2" applyNumberFormat="1" applyFont="1" applyFill="1" applyBorder="1" applyAlignment="1">
      <alignment horizontal="center"/>
    </xf>
    <xf numFmtId="166" fontId="24" fillId="0" borderId="0" xfId="2" applyNumberFormat="1" applyFont="1" applyFill="1" applyBorder="1" applyAlignment="1">
      <alignment horizontal="center"/>
    </xf>
    <xf numFmtId="166" fontId="25" fillId="0" borderId="1" xfId="2" applyNumberFormat="1" applyFont="1" applyFill="1" applyBorder="1" applyAlignment="1">
      <alignment horizontal="center"/>
    </xf>
    <xf numFmtId="2" fontId="28" fillId="0" borderId="0" xfId="2" applyNumberFormat="1" applyFont="1" applyFill="1" applyBorder="1" applyAlignment="1">
      <alignment horizontal="center"/>
    </xf>
    <xf numFmtId="4" fontId="15" fillId="0" borderId="0" xfId="0" applyNumberFormat="1" applyFont="1" applyFill="1" applyBorder="1" applyAlignment="1">
      <alignment horizontal="center"/>
    </xf>
    <xf numFmtId="0" fontId="32" fillId="0" borderId="0" xfId="0" applyFont="1" applyFill="1" applyBorder="1" applyAlignment="1">
      <alignment horizontal="center" vertical="center"/>
    </xf>
    <xf numFmtId="166" fontId="24" fillId="0" borderId="18" xfId="2" applyNumberFormat="1" applyFont="1" applyFill="1" applyBorder="1"/>
    <xf numFmtId="44" fontId="24" fillId="0" borderId="19" xfId="2" applyFont="1" applyFill="1" applyBorder="1" applyAlignment="1">
      <alignment horizontal="center"/>
    </xf>
    <xf numFmtId="4" fontId="28" fillId="0" borderId="1" xfId="0" applyNumberFormat="1" applyFont="1" applyFill="1" applyBorder="1" applyAlignment="1">
      <alignment horizontal="center"/>
    </xf>
    <xf numFmtId="0" fontId="28" fillId="0" borderId="1" xfId="0" applyFont="1" applyFill="1" applyBorder="1"/>
    <xf numFmtId="2" fontId="26" fillId="0" borderId="0" xfId="2" applyNumberFormat="1" applyFont="1" applyFill="1" applyBorder="1" applyAlignment="1">
      <alignment horizontal="center"/>
    </xf>
    <xf numFmtId="2" fontId="26" fillId="0" borderId="0" xfId="0" applyNumberFormat="1" applyFont="1" applyFill="1" applyBorder="1" applyAlignment="1">
      <alignment horizontal="center"/>
    </xf>
    <xf numFmtId="166" fontId="33" fillId="0" borderId="0" xfId="2" applyNumberFormat="1" applyFont="1" applyFill="1" applyBorder="1" applyAlignment="1">
      <alignment horizontal="center"/>
    </xf>
    <xf numFmtId="2" fontId="33" fillId="0" borderId="0" xfId="2" applyNumberFormat="1" applyFont="1" applyFill="1" applyBorder="1" applyAlignment="1">
      <alignment horizontal="center"/>
    </xf>
    <xf numFmtId="44" fontId="33" fillId="0" borderId="0" xfId="2" applyNumberFormat="1" applyFont="1" applyFill="1" applyBorder="1" applyAlignment="1">
      <alignment horizontal="center"/>
    </xf>
    <xf numFmtId="165" fontId="24" fillId="0" borderId="2" xfId="0" applyNumberFormat="1" applyFont="1" applyFill="1" applyBorder="1" applyAlignment="1">
      <alignment horizontal="center"/>
    </xf>
    <xf numFmtId="167" fontId="25" fillId="0" borderId="1" xfId="2" applyNumberFormat="1" applyFont="1" applyFill="1" applyBorder="1" applyAlignment="1">
      <alignment horizontal="right" indent="2"/>
    </xf>
    <xf numFmtId="2" fontId="25" fillId="0" borderId="0" xfId="2" applyNumberFormat="1" applyFont="1" applyFill="1" applyBorder="1" applyAlignment="1">
      <alignment horizontal="center"/>
    </xf>
    <xf numFmtId="4" fontId="24" fillId="0" borderId="2" xfId="0" applyNumberFormat="1" applyFont="1" applyFill="1" applyBorder="1" applyAlignment="1">
      <alignment horizontal="left"/>
    </xf>
    <xf numFmtId="4" fontId="24" fillId="0" borderId="0" xfId="0" applyNumberFormat="1" applyFont="1" applyFill="1" applyBorder="1" applyAlignment="1">
      <alignment horizontal="left"/>
    </xf>
    <xf numFmtId="3" fontId="24" fillId="0" borderId="2" xfId="0" applyNumberFormat="1" applyFont="1" applyFill="1" applyBorder="1" applyAlignment="1">
      <alignment horizontal="left"/>
    </xf>
    <xf numFmtId="171" fontId="24" fillId="0" borderId="2" xfId="0" applyNumberFormat="1" applyFont="1" applyFill="1" applyBorder="1" applyAlignment="1">
      <alignment horizontal="center"/>
    </xf>
    <xf numFmtId="3" fontId="24" fillId="0" borderId="0" xfId="0" applyNumberFormat="1" applyFont="1" applyFill="1" applyBorder="1" applyAlignment="1">
      <alignment horizontal="left"/>
    </xf>
    <xf numFmtId="171" fontId="24" fillId="0" borderId="0" xfId="0" applyNumberFormat="1" applyFont="1" applyFill="1" applyBorder="1" applyAlignment="1">
      <alignment horizontal="center"/>
    </xf>
    <xf numFmtId="165" fontId="24" fillId="0" borderId="0" xfId="0" applyNumberFormat="1" applyFont="1" applyFill="1" applyBorder="1" applyAlignment="1">
      <alignment horizontal="left"/>
    </xf>
    <xf numFmtId="0" fontId="3" fillId="0" borderId="0" xfId="0" applyFont="1" applyFill="1"/>
    <xf numFmtId="172" fontId="24" fillId="0" borderId="2" xfId="0" applyNumberFormat="1" applyFont="1" applyFill="1" applyBorder="1" applyAlignment="1">
      <alignment horizontal="center"/>
    </xf>
    <xf numFmtId="44" fontId="24" fillId="0" borderId="20" xfId="2" applyFont="1" applyFill="1" applyBorder="1" applyAlignment="1">
      <alignment horizontal="center"/>
    </xf>
    <xf numFmtId="0" fontId="22" fillId="0" borderId="0" xfId="0" applyFont="1" applyFill="1" applyBorder="1" applyAlignment="1">
      <alignment horizontal="center"/>
    </xf>
    <xf numFmtId="165" fontId="27" fillId="0" borderId="2" xfId="0" applyNumberFormat="1" applyFont="1" applyFill="1" applyBorder="1" applyAlignment="1">
      <alignment horizontal="left"/>
    </xf>
    <xf numFmtId="44" fontId="33" fillId="0" borderId="0" xfId="2" applyFont="1" applyFill="1" applyBorder="1" applyAlignment="1">
      <alignment horizontal="center"/>
    </xf>
    <xf numFmtId="167" fontId="26" fillId="0" borderId="0" xfId="2" applyNumberFormat="1" applyFont="1" applyFill="1" applyBorder="1" applyAlignment="1">
      <alignment horizontal="right" indent="2"/>
    </xf>
    <xf numFmtId="0" fontId="28" fillId="6" borderId="2" xfId="0" applyFont="1" applyFill="1" applyBorder="1" applyAlignment="1">
      <alignment horizontal="center" vertical="center"/>
    </xf>
    <xf numFmtId="0" fontId="28" fillId="6" borderId="18" xfId="0" applyFont="1" applyFill="1" applyBorder="1" applyAlignment="1">
      <alignment horizontal="center" vertical="center"/>
    </xf>
    <xf numFmtId="0" fontId="28" fillId="0" borderId="0" xfId="0" applyFont="1" applyFill="1" applyBorder="1" applyAlignment="1">
      <alignment horizontal="center" vertical="center"/>
    </xf>
    <xf numFmtId="0" fontId="28" fillId="6" borderId="20" xfId="0" applyFont="1" applyFill="1" applyBorder="1" applyAlignment="1">
      <alignment horizontal="center" vertical="center"/>
    </xf>
    <xf numFmtId="166" fontId="28" fillId="0" borderId="8" xfId="2" applyNumberFormat="1" applyFont="1" applyFill="1" applyBorder="1" applyAlignment="1">
      <alignment horizontal="center"/>
    </xf>
    <xf numFmtId="44" fontId="28" fillId="0" borderId="20" xfId="2" applyNumberFormat="1" applyFont="1" applyFill="1" applyBorder="1" applyAlignment="1">
      <alignment horizontal="center"/>
    </xf>
    <xf numFmtId="166" fontId="29" fillId="0" borderId="8" xfId="0" applyNumberFormat="1" applyFont="1" applyFill="1" applyBorder="1"/>
    <xf numFmtId="0" fontId="29" fillId="0" borderId="20" xfId="0" applyFont="1" applyFill="1" applyBorder="1"/>
    <xf numFmtId="0" fontId="28" fillId="6" borderId="0" xfId="0" applyFont="1" applyFill="1" applyBorder="1" applyAlignment="1">
      <alignment horizontal="center" vertical="center"/>
    </xf>
    <xf numFmtId="0" fontId="28" fillId="6" borderId="22" xfId="0" applyFont="1" applyFill="1" applyBorder="1" applyAlignment="1">
      <alignment horizontal="center" vertical="center"/>
    </xf>
    <xf numFmtId="165" fontId="24" fillId="6" borderId="0" xfId="0" applyNumberFormat="1" applyFont="1" applyFill="1" applyBorder="1" applyAlignment="1">
      <alignment horizontal="center"/>
    </xf>
    <xf numFmtId="4" fontId="24" fillId="6" borderId="0" xfId="0" applyNumberFormat="1" applyFont="1" applyFill="1" applyBorder="1" applyAlignment="1">
      <alignment horizontal="center"/>
    </xf>
    <xf numFmtId="166" fontId="24" fillId="6" borderId="8" xfId="2" applyNumberFormat="1" applyFont="1" applyFill="1" applyBorder="1" applyAlignment="1">
      <alignment horizontal="center"/>
    </xf>
    <xf numFmtId="44" fontId="24" fillId="6" borderId="20" xfId="2" applyFont="1" applyFill="1" applyBorder="1" applyAlignment="1">
      <alignment horizontal="center"/>
    </xf>
    <xf numFmtId="4" fontId="28" fillId="0" borderId="0" xfId="0" applyNumberFormat="1" applyFont="1" applyFill="1" applyBorder="1" applyAlignment="1">
      <alignment horizontal="center"/>
    </xf>
    <xf numFmtId="4" fontId="15" fillId="0" borderId="0" xfId="0" applyNumberFormat="1" applyFont="1" applyFill="1" applyAlignment="1">
      <alignment horizontal="center"/>
    </xf>
    <xf numFmtId="2" fontId="24" fillId="0" borderId="2" xfId="0" applyNumberFormat="1" applyFont="1" applyFill="1" applyBorder="1" applyAlignment="1">
      <alignment horizontal="left"/>
    </xf>
    <xf numFmtId="167" fontId="28" fillId="0" borderId="1" xfId="2" applyNumberFormat="1" applyFont="1" applyFill="1" applyBorder="1" applyAlignment="1">
      <alignment horizontal="right" indent="2"/>
    </xf>
    <xf numFmtId="3" fontId="3" fillId="0" borderId="0" xfId="0" applyNumberFormat="1" applyFont="1" applyBorder="1" applyAlignment="1">
      <alignment horizontal="center"/>
    </xf>
    <xf numFmtId="10" fontId="24" fillId="0" borderId="2" xfId="4" applyNumberFormat="1" applyFont="1" applyFill="1" applyBorder="1" applyAlignment="1">
      <alignment horizontal="center"/>
    </xf>
    <xf numFmtId="10" fontId="3" fillId="0" borderId="0" xfId="4" applyNumberFormat="1" applyFont="1" applyFill="1" applyBorder="1" applyAlignment="1">
      <alignment horizontal="center"/>
    </xf>
    <xf numFmtId="166" fontId="0" fillId="0" borderId="0" xfId="0" applyNumberFormat="1"/>
    <xf numFmtId="166" fontId="31" fillId="4" borderId="17" xfId="0" applyNumberFormat="1" applyFont="1" applyFill="1" applyBorder="1" applyAlignment="1">
      <alignment horizontal="center"/>
    </xf>
    <xf numFmtId="166" fontId="24" fillId="0" borderId="19" xfId="2" applyNumberFormat="1" applyFont="1" applyFill="1" applyBorder="1" applyAlignment="1">
      <alignment horizontal="center"/>
    </xf>
    <xf numFmtId="166" fontId="24" fillId="0" borderId="20" xfId="2" applyNumberFormat="1" applyFont="1" applyFill="1" applyBorder="1" applyAlignment="1">
      <alignment horizontal="center"/>
    </xf>
    <xf numFmtId="166" fontId="25" fillId="0" borderId="21" xfId="2" applyNumberFormat="1" applyFont="1" applyFill="1" applyBorder="1" applyAlignment="1">
      <alignment horizontal="center"/>
    </xf>
    <xf numFmtId="166" fontId="15" fillId="0" borderId="0" xfId="0" applyNumberFormat="1" applyFont="1" applyBorder="1"/>
    <xf numFmtId="166" fontId="15" fillId="0" borderId="0" xfId="0" applyNumberFormat="1" applyFont="1" applyFill="1" applyBorder="1"/>
    <xf numFmtId="166" fontId="3" fillId="0" borderId="0" xfId="0" applyNumberFormat="1" applyFont="1" applyBorder="1"/>
    <xf numFmtId="166" fontId="26" fillId="0" borderId="0" xfId="2" applyNumberFormat="1" applyFont="1" applyFill="1" applyBorder="1" applyAlignment="1">
      <alignment horizontal="center"/>
    </xf>
    <xf numFmtId="166" fontId="28" fillId="6" borderId="20" xfId="0" applyNumberFormat="1" applyFont="1" applyFill="1" applyBorder="1" applyAlignment="1">
      <alignment horizontal="center" vertical="center"/>
    </xf>
    <xf numFmtId="166" fontId="28" fillId="0" borderId="20" xfId="2" applyNumberFormat="1" applyFont="1" applyFill="1" applyBorder="1" applyAlignment="1">
      <alignment horizontal="center"/>
    </xf>
    <xf numFmtId="166" fontId="29" fillId="0" borderId="20" xfId="0" applyNumberFormat="1" applyFont="1" applyFill="1" applyBorder="1"/>
    <xf numFmtId="166" fontId="24" fillId="6" borderId="20" xfId="2" applyNumberFormat="1" applyFont="1" applyFill="1" applyBorder="1" applyAlignment="1">
      <alignment horizontal="center"/>
    </xf>
    <xf numFmtId="0" fontId="0" fillId="2" borderId="0" xfId="0" applyFill="1"/>
    <xf numFmtId="0" fontId="0" fillId="9" borderId="0" xfId="0" applyFill="1"/>
    <xf numFmtId="0" fontId="0" fillId="10" borderId="0" xfId="0" applyFill="1"/>
    <xf numFmtId="0" fontId="0" fillId="11" borderId="0" xfId="0" applyFill="1"/>
    <xf numFmtId="0" fontId="0" fillId="12" borderId="0" xfId="0" applyFill="1"/>
    <xf numFmtId="173" fontId="0" fillId="0" borderId="0" xfId="0" applyNumberFormat="1"/>
    <xf numFmtId="0" fontId="0" fillId="7" borderId="0" xfId="0" applyFill="1"/>
    <xf numFmtId="0" fontId="0" fillId="13" borderId="0" xfId="0" applyFill="1"/>
    <xf numFmtId="166" fontId="0" fillId="13" borderId="0" xfId="0" applyNumberFormat="1" applyFill="1"/>
    <xf numFmtId="0" fontId="0" fillId="14" borderId="0" xfId="0" applyFill="1"/>
    <xf numFmtId="0" fontId="0" fillId="15" borderId="0" xfId="0" applyFill="1"/>
    <xf numFmtId="0" fontId="0" fillId="16" borderId="0" xfId="0" applyFill="1"/>
    <xf numFmtId="0" fontId="36" fillId="8" borderId="25" xfId="0" applyFont="1" applyFill="1" applyBorder="1"/>
    <xf numFmtId="0" fontId="36" fillId="8" borderId="26" xfId="0" applyFont="1" applyFill="1" applyBorder="1"/>
    <xf numFmtId="0" fontId="36" fillId="8" borderId="27" xfId="0" applyFont="1" applyFill="1" applyBorder="1"/>
    <xf numFmtId="0" fontId="36" fillId="8" borderId="28" xfId="0" applyFont="1" applyFill="1" applyBorder="1"/>
    <xf numFmtId="0" fontId="36" fillId="8" borderId="0" xfId="0" applyFont="1" applyFill="1" applyBorder="1"/>
    <xf numFmtId="0" fontId="36" fillId="8" borderId="29" xfId="0" applyFont="1" applyFill="1" applyBorder="1"/>
    <xf numFmtId="0" fontId="36" fillId="8" borderId="30" xfId="0" applyFont="1" applyFill="1" applyBorder="1"/>
    <xf numFmtId="0" fontId="36" fillId="8" borderId="31" xfId="0" applyFont="1" applyFill="1" applyBorder="1"/>
    <xf numFmtId="0" fontId="36" fillId="8" borderId="32" xfId="0" applyFont="1" applyFill="1" applyBorder="1"/>
    <xf numFmtId="0" fontId="35" fillId="8" borderId="25" xfId="0" applyFont="1" applyFill="1" applyBorder="1"/>
    <xf numFmtId="0" fontId="0" fillId="8" borderId="26" xfId="0" applyFill="1" applyBorder="1"/>
    <xf numFmtId="0" fontId="0" fillId="8" borderId="28" xfId="0" applyFill="1" applyBorder="1"/>
    <xf numFmtId="0" fontId="0" fillId="8" borderId="0" xfId="0" applyFill="1" applyBorder="1"/>
    <xf numFmtId="0" fontId="0" fillId="8" borderId="29" xfId="0" applyFill="1" applyBorder="1"/>
    <xf numFmtId="0" fontId="0" fillId="8" borderId="30" xfId="0" applyFill="1" applyBorder="1"/>
    <xf numFmtId="0" fontId="0" fillId="8" borderId="31" xfId="0" applyFill="1" applyBorder="1"/>
    <xf numFmtId="0" fontId="0" fillId="8" borderId="32" xfId="0" applyFill="1" applyBorder="1"/>
    <xf numFmtId="0" fontId="35" fillId="8" borderId="27" xfId="0" applyFont="1" applyFill="1" applyBorder="1" applyAlignment="1">
      <alignment horizontal="center"/>
    </xf>
    <xf numFmtId="0" fontId="3" fillId="0" borderId="33" xfId="0" applyFont="1" applyBorder="1"/>
    <xf numFmtId="0" fontId="3" fillId="0" borderId="34" xfId="0" applyFont="1" applyBorder="1"/>
    <xf numFmtId="0" fontId="0" fillId="0" borderId="34" xfId="0" applyBorder="1"/>
    <xf numFmtId="0" fontId="31" fillId="4" borderId="35" xfId="0" applyFont="1" applyFill="1" applyBorder="1" applyAlignment="1">
      <alignment horizontal="center"/>
    </xf>
    <xf numFmtId="44" fontId="24" fillId="0" borderId="36" xfId="2" applyNumberFormat="1" applyFont="1" applyFill="1" applyBorder="1" applyAlignment="1">
      <alignment horizontal="center"/>
    </xf>
    <xf numFmtId="44" fontId="24" fillId="0" borderId="34" xfId="2" applyNumberFormat="1" applyFont="1" applyFill="1" applyBorder="1" applyAlignment="1">
      <alignment horizontal="center"/>
    </xf>
    <xf numFmtId="44" fontId="25" fillId="0" borderId="37" xfId="2" applyNumberFormat="1" applyFont="1" applyFill="1" applyBorder="1" applyAlignment="1">
      <alignment horizontal="center"/>
    </xf>
    <xf numFmtId="0" fontId="15" fillId="0" borderId="34" xfId="0" applyFont="1" applyBorder="1"/>
    <xf numFmtId="44" fontId="24" fillId="0" borderId="36" xfId="2" applyFont="1" applyFill="1" applyBorder="1" applyAlignment="1">
      <alignment horizontal="center"/>
    </xf>
    <xf numFmtId="0" fontId="15" fillId="0" borderId="34" xfId="0" applyFont="1" applyFill="1" applyBorder="1"/>
    <xf numFmtId="44" fontId="33" fillId="0" borderId="34" xfId="2" applyNumberFormat="1" applyFont="1" applyFill="1" applyBorder="1" applyAlignment="1">
      <alignment horizontal="center"/>
    </xf>
    <xf numFmtId="44" fontId="24" fillId="0" borderId="34" xfId="2" applyFont="1" applyFill="1" applyBorder="1" applyAlignment="1">
      <alignment horizontal="center"/>
    </xf>
    <xf numFmtId="2" fontId="26" fillId="0" borderId="34" xfId="2" applyNumberFormat="1" applyFont="1" applyFill="1" applyBorder="1" applyAlignment="1">
      <alignment horizontal="center"/>
    </xf>
    <xf numFmtId="44" fontId="33" fillId="0" borderId="34" xfId="2" applyFont="1" applyFill="1" applyBorder="1" applyAlignment="1">
      <alignment horizontal="center"/>
    </xf>
    <xf numFmtId="0" fontId="28" fillId="6" borderId="34" xfId="0" applyFont="1" applyFill="1" applyBorder="1" applyAlignment="1">
      <alignment horizontal="center" vertical="center"/>
    </xf>
    <xf numFmtId="44" fontId="28" fillId="0" borderId="34" xfId="2" applyNumberFormat="1" applyFont="1" applyFill="1" applyBorder="1" applyAlignment="1">
      <alignment horizontal="center"/>
    </xf>
    <xf numFmtId="0" fontId="29" fillId="0" borderId="34" xfId="0" applyFont="1" applyFill="1" applyBorder="1"/>
    <xf numFmtId="44" fontId="24" fillId="6" borderId="34" xfId="2" applyFont="1" applyFill="1" applyBorder="1" applyAlignment="1">
      <alignment horizontal="center"/>
    </xf>
    <xf numFmtId="0" fontId="0" fillId="0" borderId="0" xfId="0" applyAlignment="1">
      <alignment wrapText="1"/>
    </xf>
    <xf numFmtId="9" fontId="25" fillId="0" borderId="21" xfId="3" applyFont="1" applyFill="1" applyBorder="1" applyAlignment="1">
      <alignment horizontal="center"/>
    </xf>
    <xf numFmtId="0" fontId="14" fillId="5" borderId="0" xfId="0" applyFont="1" applyFill="1"/>
    <xf numFmtId="0" fontId="38" fillId="5" borderId="0" xfId="0" applyFont="1" applyFill="1"/>
    <xf numFmtId="0" fontId="5" fillId="5" borderId="0" xfId="0" applyFont="1" applyFill="1"/>
    <xf numFmtId="0" fontId="0" fillId="5" borderId="0" xfId="0" applyFill="1"/>
    <xf numFmtId="0" fontId="5" fillId="5" borderId="0" xfId="0" applyFont="1" applyFill="1" applyAlignment="1"/>
    <xf numFmtId="0" fontId="39" fillId="5" borderId="0" xfId="0" applyNumberFormat="1" applyFont="1" applyFill="1"/>
    <xf numFmtId="0" fontId="8" fillId="5" borderId="0" xfId="0" applyFont="1" applyFill="1"/>
    <xf numFmtId="0" fontId="39" fillId="5" borderId="0" xfId="0" applyFont="1" applyFill="1" applyAlignment="1">
      <alignment horizontal="justify"/>
    </xf>
    <xf numFmtId="0" fontId="8" fillId="5" borderId="0" xfId="0" applyFont="1" applyFill="1" applyAlignment="1">
      <alignment horizontal="justify"/>
    </xf>
    <xf numFmtId="0" fontId="17" fillId="5" borderId="0" xfId="0" applyFont="1" applyFill="1" applyAlignment="1">
      <alignment horizontal="justify" vertical="center"/>
    </xf>
    <xf numFmtId="0" fontId="14" fillId="5" borderId="0" xfId="0" applyFont="1" applyFill="1" applyAlignment="1">
      <alignment wrapText="1"/>
    </xf>
    <xf numFmtId="0" fontId="5" fillId="5" borderId="0" xfId="0" applyFont="1" applyFill="1" applyAlignment="1">
      <alignment horizontal="justify"/>
    </xf>
    <xf numFmtId="0" fontId="14" fillId="5" borderId="0" xfId="0" applyFont="1" applyFill="1" applyAlignment="1">
      <alignment horizontal="justify"/>
    </xf>
    <xf numFmtId="0" fontId="8" fillId="3" borderId="0" xfId="0" applyFont="1" applyFill="1" applyProtection="1"/>
    <xf numFmtId="166" fontId="46" fillId="3" borderId="0" xfId="2" applyNumberFormat="1" applyFont="1" applyFill="1" applyAlignment="1" applyProtection="1">
      <alignment vertical="center"/>
    </xf>
    <xf numFmtId="166" fontId="46" fillId="3" borderId="0" xfId="0" applyNumberFormat="1" applyFont="1" applyFill="1" applyProtection="1"/>
    <xf numFmtId="44" fontId="46" fillId="3" borderId="0" xfId="2" applyNumberFormat="1" applyFont="1" applyFill="1" applyAlignment="1" applyProtection="1">
      <alignment vertical="center"/>
    </xf>
    <xf numFmtId="9" fontId="24" fillId="0" borderId="20" xfId="3" applyFont="1" applyFill="1" applyBorder="1" applyAlignment="1">
      <alignment horizontal="center"/>
    </xf>
    <xf numFmtId="9" fontId="28" fillId="0" borderId="20" xfId="3" applyFont="1" applyFill="1" applyBorder="1" applyAlignment="1">
      <alignment horizontal="center"/>
    </xf>
    <xf numFmtId="44" fontId="46" fillId="3" borderId="0" xfId="2" applyNumberFormat="1" applyFont="1" applyFill="1" applyAlignment="1" applyProtection="1">
      <alignment horizontal="center" vertical="center"/>
    </xf>
    <xf numFmtId="0" fontId="3" fillId="5" borderId="0" xfId="0" applyFont="1" applyFill="1" applyProtection="1"/>
    <xf numFmtId="0" fontId="4" fillId="5" borderId="0" xfId="0" applyFont="1" applyFill="1" applyAlignment="1" applyProtection="1">
      <alignment horizontal="left" vertical="top" indent="4"/>
    </xf>
    <xf numFmtId="0" fontId="4" fillId="5" borderId="0" xfId="0" applyFont="1" applyFill="1" applyAlignment="1" applyProtection="1">
      <alignment horizontal="left" vertical="top"/>
    </xf>
    <xf numFmtId="0" fontId="4" fillId="5" borderId="0" xfId="0" applyFont="1" applyFill="1" applyProtection="1"/>
    <xf numFmtId="0" fontId="5" fillId="5" borderId="0" xfId="0" applyFont="1" applyFill="1" applyProtection="1"/>
    <xf numFmtId="0" fontId="3" fillId="5" borderId="0" xfId="0" applyFont="1" applyFill="1" applyBorder="1" applyProtection="1"/>
    <xf numFmtId="0" fontId="6" fillId="5" borderId="1" xfId="0" applyFont="1" applyFill="1" applyBorder="1" applyAlignment="1" applyProtection="1">
      <alignment horizontal="left" wrapText="1"/>
    </xf>
    <xf numFmtId="0" fontId="5" fillId="5" borderId="0" xfId="0" applyFont="1" applyFill="1" applyBorder="1" applyProtection="1"/>
    <xf numFmtId="0" fontId="5" fillId="5" borderId="0" xfId="0" applyFont="1" applyFill="1" applyBorder="1" applyAlignment="1" applyProtection="1">
      <alignment horizontal="center"/>
    </xf>
    <xf numFmtId="0" fontId="5" fillId="5" borderId="0" xfId="0" applyFont="1" applyFill="1" applyBorder="1" applyAlignment="1" applyProtection="1">
      <alignment horizontal="right"/>
    </xf>
    <xf numFmtId="0" fontId="5" fillId="5" borderId="1" xfId="0" applyFont="1" applyFill="1" applyBorder="1" applyProtection="1"/>
    <xf numFmtId="0" fontId="8" fillId="5" borderId="2" xfId="0" applyFont="1" applyFill="1" applyBorder="1" applyProtection="1"/>
    <xf numFmtId="0" fontId="8" fillId="5" borderId="2" xfId="0" applyFont="1" applyFill="1" applyBorder="1" applyAlignment="1" applyProtection="1"/>
    <xf numFmtId="0" fontId="5" fillId="5" borderId="0" xfId="0" applyFont="1" applyFill="1" applyBorder="1" applyAlignment="1" applyProtection="1"/>
    <xf numFmtId="0" fontId="9" fillId="5" borderId="0" xfId="0" applyFont="1" applyFill="1" applyBorder="1" applyAlignment="1" applyProtection="1">
      <alignment horizontal="left"/>
    </xf>
    <xf numFmtId="0" fontId="8" fillId="5" borderId="6" xfId="0" applyFont="1" applyFill="1" applyBorder="1" applyAlignment="1" applyProtection="1"/>
    <xf numFmtId="0" fontId="8" fillId="5" borderId="6" xfId="0" applyFont="1" applyFill="1" applyBorder="1" applyAlignment="1" applyProtection="1">
      <alignment horizontal="center"/>
    </xf>
    <xf numFmtId="0" fontId="8" fillId="5" borderId="6" xfId="0" applyFont="1" applyFill="1" applyBorder="1" applyAlignment="1" applyProtection="1">
      <alignment horizontal="center" wrapText="1"/>
    </xf>
    <xf numFmtId="0" fontId="8" fillId="5" borderId="0" xfId="0" applyFont="1" applyFill="1" applyBorder="1" applyAlignment="1" applyProtection="1">
      <alignment horizontal="center" vertical="center" wrapText="1"/>
    </xf>
    <xf numFmtId="165" fontId="5" fillId="5" borderId="0" xfId="0" quotePrefix="1" applyNumberFormat="1" applyFont="1" applyFill="1" applyAlignment="1" applyProtection="1">
      <alignment horizontal="center"/>
    </xf>
    <xf numFmtId="165" fontId="5" fillId="5" borderId="0" xfId="0" applyNumberFormat="1" applyFont="1" applyFill="1" applyBorder="1" applyAlignment="1" applyProtection="1">
      <alignment horizontal="center"/>
    </xf>
    <xf numFmtId="0" fontId="5" fillId="5" borderId="0" xfId="0" applyFont="1" applyFill="1" applyAlignment="1" applyProtection="1">
      <alignment horizontal="center"/>
    </xf>
    <xf numFmtId="44" fontId="5" fillId="5" borderId="0" xfId="2" applyFont="1" applyFill="1" applyAlignment="1" applyProtection="1">
      <alignment horizontal="center" vertical="center"/>
    </xf>
    <xf numFmtId="44" fontId="5" fillId="5" borderId="0" xfId="2" applyFont="1" applyFill="1" applyAlignment="1" applyProtection="1">
      <alignment horizontal="center" vertical="center" wrapText="1"/>
    </xf>
    <xf numFmtId="0" fontId="3" fillId="5" borderId="0" xfId="0" applyFont="1" applyFill="1" applyAlignment="1" applyProtection="1">
      <alignment horizontal="center" vertical="center" wrapText="1"/>
    </xf>
    <xf numFmtId="3" fontId="5" fillId="5" borderId="0" xfId="0" applyNumberFormat="1" applyFont="1" applyFill="1" applyBorder="1" applyAlignment="1" applyProtection="1">
      <alignment horizontal="center"/>
    </xf>
    <xf numFmtId="0" fontId="5" fillId="5" borderId="1" xfId="0" applyFont="1" applyFill="1" applyBorder="1" applyAlignment="1" applyProtection="1">
      <alignment horizontal="right"/>
    </xf>
    <xf numFmtId="0" fontId="10" fillId="5" borderId="1" xfId="0" applyFont="1" applyFill="1" applyBorder="1" applyAlignment="1" applyProtection="1">
      <alignment horizontal="center"/>
    </xf>
    <xf numFmtId="0" fontId="9" fillId="5" borderId="0" xfId="0" applyFont="1" applyFill="1" applyBorder="1" applyProtection="1"/>
    <xf numFmtId="0" fontId="8" fillId="5" borderId="0" xfId="0" applyFont="1" applyFill="1" applyBorder="1" applyProtection="1"/>
    <xf numFmtId="0" fontId="8" fillId="5" borderId="0" xfId="0" applyFont="1" applyFill="1" applyBorder="1" applyAlignment="1" applyProtection="1"/>
    <xf numFmtId="0" fontId="5" fillId="5" borderId="0" xfId="0" applyFont="1" applyFill="1" applyBorder="1" applyAlignment="1" applyProtection="1">
      <alignment horizontal="left"/>
    </xf>
    <xf numFmtId="0" fontId="8" fillId="5" borderId="7" xfId="0" applyFont="1" applyFill="1" applyBorder="1" applyAlignment="1" applyProtection="1"/>
    <xf numFmtId="0" fontId="5" fillId="5" borderId="7" xfId="0" applyFont="1" applyFill="1" applyBorder="1" applyAlignment="1" applyProtection="1"/>
    <xf numFmtId="0" fontId="5" fillId="5" borderId="7" xfId="0" applyFont="1" applyFill="1" applyBorder="1" applyAlignment="1" applyProtection="1">
      <alignment horizontal="right"/>
    </xf>
    <xf numFmtId="2" fontId="5" fillId="5" borderId="0" xfId="0" quotePrefix="1" applyNumberFormat="1" applyFont="1" applyFill="1" applyAlignment="1" applyProtection="1">
      <alignment horizontal="center"/>
    </xf>
    <xf numFmtId="2" fontId="5" fillId="5" borderId="0" xfId="0" applyNumberFormat="1" applyFont="1" applyFill="1" applyBorder="1" applyAlignment="1" applyProtection="1">
      <alignment horizontal="center"/>
    </xf>
    <xf numFmtId="0" fontId="8" fillId="5" borderId="0" xfId="0" applyFont="1" applyFill="1" applyBorder="1" applyAlignment="1" applyProtection="1">
      <alignment horizontal="right"/>
    </xf>
    <xf numFmtId="0" fontId="11" fillId="5" borderId="0" xfId="0" applyFont="1" applyFill="1" applyBorder="1" applyAlignment="1" applyProtection="1">
      <alignment horizontal="right"/>
    </xf>
    <xf numFmtId="165" fontId="11" fillId="5" borderId="0" xfId="0" applyNumberFormat="1" applyFont="1" applyFill="1" applyBorder="1" applyAlignment="1" applyProtection="1">
      <alignment horizontal="center"/>
    </xf>
    <xf numFmtId="0" fontId="5" fillId="5" borderId="1" xfId="0" applyFont="1" applyFill="1" applyBorder="1" applyAlignment="1" applyProtection="1">
      <alignment horizontal="center"/>
    </xf>
    <xf numFmtId="44" fontId="5" fillId="5" borderId="0" xfId="2" applyFont="1" applyFill="1" applyAlignment="1" applyProtection="1">
      <alignment horizontal="center"/>
    </xf>
    <xf numFmtId="44" fontId="5" fillId="5" borderId="0" xfId="2" applyFont="1" applyFill="1" applyAlignment="1" applyProtection="1">
      <alignment horizontal="center" wrapText="1"/>
    </xf>
    <xf numFmtId="0" fontId="9" fillId="5" borderId="7" xfId="0" applyFont="1" applyFill="1" applyBorder="1" applyProtection="1"/>
    <xf numFmtId="0" fontId="8" fillId="5" borderId="7" xfId="0" applyFont="1" applyFill="1" applyBorder="1" applyProtection="1"/>
    <xf numFmtId="166" fontId="12" fillId="5" borderId="0" xfId="0" applyNumberFormat="1" applyFont="1" applyFill="1" applyBorder="1" applyProtection="1"/>
    <xf numFmtId="166" fontId="5" fillId="5" borderId="0" xfId="2" applyNumberFormat="1" applyFont="1" applyFill="1" applyBorder="1" applyProtection="1"/>
    <xf numFmtId="166" fontId="5" fillId="5" borderId="0" xfId="0" applyNumberFormat="1" applyFont="1" applyFill="1" applyBorder="1" applyProtection="1"/>
    <xf numFmtId="166" fontId="5" fillId="5" borderId="1" xfId="0" applyNumberFormat="1" applyFont="1" applyFill="1" applyBorder="1" applyAlignment="1" applyProtection="1">
      <alignment horizontal="right"/>
    </xf>
    <xf numFmtId="166" fontId="5" fillId="5" borderId="1" xfId="0" applyNumberFormat="1" applyFont="1" applyFill="1" applyBorder="1" applyAlignment="1" applyProtection="1">
      <alignment horizontal="center"/>
    </xf>
    <xf numFmtId="166" fontId="9" fillId="5" borderId="0" xfId="2" applyNumberFormat="1" applyFont="1" applyFill="1" applyBorder="1" applyAlignment="1" applyProtection="1">
      <alignment horizontal="left"/>
    </xf>
    <xf numFmtId="166" fontId="13" fillId="5" borderId="0" xfId="0" applyNumberFormat="1" applyFont="1" applyFill="1" applyBorder="1" applyProtection="1"/>
    <xf numFmtId="166" fontId="5" fillId="5" borderId="0" xfId="0" applyNumberFormat="1" applyFont="1" applyFill="1" applyBorder="1" applyAlignment="1" applyProtection="1">
      <alignment horizontal="left"/>
    </xf>
    <xf numFmtId="166" fontId="5" fillId="5" borderId="0" xfId="2" applyNumberFormat="1" applyFont="1" applyFill="1" applyBorder="1" applyAlignment="1" applyProtection="1">
      <alignment horizontal="left"/>
    </xf>
    <xf numFmtId="0" fontId="5" fillId="5" borderId="7" xfId="0" applyFont="1" applyFill="1" applyBorder="1" applyProtection="1"/>
    <xf numFmtId="166" fontId="5" fillId="5" borderId="7" xfId="0" applyNumberFormat="1" applyFont="1" applyFill="1" applyBorder="1" applyProtection="1"/>
    <xf numFmtId="166" fontId="8" fillId="5" borderId="7" xfId="0" applyNumberFormat="1" applyFont="1" applyFill="1" applyBorder="1" applyAlignment="1" applyProtection="1">
      <alignment horizontal="left"/>
    </xf>
    <xf numFmtId="0" fontId="8" fillId="5" borderId="7" xfId="0" applyFont="1" applyFill="1" applyBorder="1" applyAlignment="1" applyProtection="1">
      <alignment horizontal="left"/>
    </xf>
    <xf numFmtId="166" fontId="5" fillId="5" borderId="0" xfId="0" applyNumberFormat="1" applyFont="1" applyFill="1" applyProtection="1"/>
    <xf numFmtId="166" fontId="5" fillId="5" borderId="0" xfId="2" applyNumberFormat="1" applyFont="1" applyFill="1" applyAlignment="1" applyProtection="1">
      <alignment horizontal="center" vertical="center"/>
    </xf>
    <xf numFmtId="166" fontId="5" fillId="5" borderId="1" xfId="0" applyNumberFormat="1" applyFont="1" applyFill="1" applyBorder="1" applyAlignment="1" applyProtection="1">
      <alignment horizontal="left"/>
    </xf>
    <xf numFmtId="0" fontId="5" fillId="5" borderId="1" xfId="0" applyFont="1" applyFill="1" applyBorder="1" applyAlignment="1" applyProtection="1">
      <alignment horizontal="left"/>
    </xf>
    <xf numFmtId="9" fontId="5" fillId="5" borderId="0" xfId="3" applyFont="1" applyFill="1" applyBorder="1" applyAlignment="1" applyProtection="1">
      <alignment horizontal="right"/>
    </xf>
    <xf numFmtId="9" fontId="5" fillId="5" borderId="0" xfId="3" applyFont="1" applyFill="1" applyBorder="1" applyAlignment="1" applyProtection="1">
      <alignment horizontal="center"/>
    </xf>
    <xf numFmtId="166" fontId="5" fillId="5" borderId="0" xfId="3" applyNumberFormat="1" applyFont="1" applyFill="1" applyBorder="1" applyAlignment="1" applyProtection="1">
      <alignment horizontal="center"/>
    </xf>
    <xf numFmtId="0" fontId="14" fillId="5" borderId="0" xfId="0" applyFont="1" applyFill="1" applyProtection="1"/>
    <xf numFmtId="0" fontId="9" fillId="5" borderId="6" xfId="0" applyFont="1" applyFill="1" applyBorder="1" applyAlignment="1" applyProtection="1"/>
    <xf numFmtId="0" fontId="9" fillId="5" borderId="6" xfId="0" applyFont="1" applyFill="1" applyBorder="1" applyProtection="1"/>
    <xf numFmtId="0" fontId="9" fillId="5" borderId="6" xfId="0" applyFont="1" applyFill="1" applyBorder="1" applyAlignment="1" applyProtection="1">
      <alignment horizontal="center" vertical="center"/>
    </xf>
    <xf numFmtId="0" fontId="9" fillId="5" borderId="6" xfId="0" applyFont="1" applyFill="1" applyBorder="1" applyAlignment="1" applyProtection="1">
      <alignment horizontal="center" vertical="center" wrapText="1"/>
    </xf>
    <xf numFmtId="0" fontId="15" fillId="5" borderId="0" xfId="0" applyFont="1" applyFill="1" applyAlignment="1" applyProtection="1">
      <alignment horizontal="center" vertical="center" wrapText="1"/>
    </xf>
    <xf numFmtId="1" fontId="5" fillId="5" borderId="0" xfId="0" quotePrefix="1" applyNumberFormat="1" applyFont="1" applyFill="1" applyAlignment="1" applyProtection="1">
      <alignment horizontal="center"/>
    </xf>
    <xf numFmtId="0" fontId="5" fillId="5" borderId="8" xfId="0" applyFont="1" applyFill="1" applyBorder="1" applyProtection="1"/>
    <xf numFmtId="44" fontId="5" fillId="5" borderId="0" xfId="2" applyNumberFormat="1" applyFont="1" applyFill="1" applyAlignment="1" applyProtection="1">
      <alignment horizontal="center" vertical="center"/>
    </xf>
    <xf numFmtId="44" fontId="5" fillId="5" borderId="0" xfId="0" applyNumberFormat="1" applyFont="1" applyFill="1" applyProtection="1"/>
    <xf numFmtId="44" fontId="5" fillId="5" borderId="0" xfId="2" applyNumberFormat="1" applyFont="1" applyFill="1" applyAlignment="1" applyProtection="1">
      <alignment horizontal="center" vertical="center" wrapText="1"/>
    </xf>
    <xf numFmtId="0" fontId="5" fillId="5" borderId="9" xfId="0" applyFont="1" applyFill="1" applyBorder="1" applyAlignment="1" applyProtection="1">
      <alignment horizontal="right"/>
    </xf>
    <xf numFmtId="166" fontId="5" fillId="5" borderId="1" xfId="0" applyNumberFormat="1" applyFont="1" applyFill="1" applyBorder="1" applyProtection="1"/>
    <xf numFmtId="166" fontId="5" fillId="5" borderId="1" xfId="0" applyNumberFormat="1" applyFont="1" applyFill="1" applyBorder="1" applyAlignment="1" applyProtection="1">
      <alignment horizontal="center" vertical="center"/>
    </xf>
    <xf numFmtId="0" fontId="13" fillId="5" borderId="0" xfId="0" applyFont="1" applyFill="1" applyBorder="1" applyProtection="1"/>
    <xf numFmtId="44" fontId="9" fillId="5" borderId="0" xfId="2" applyNumberFormat="1" applyFont="1" applyFill="1" applyBorder="1" applyAlignment="1" applyProtection="1">
      <alignment horizontal="center" vertical="center"/>
    </xf>
    <xf numFmtId="44" fontId="9" fillId="5" borderId="0" xfId="0" applyNumberFormat="1" applyFont="1" applyFill="1" applyBorder="1" applyAlignment="1" applyProtection="1">
      <alignment horizontal="left"/>
    </xf>
    <xf numFmtId="44" fontId="8" fillId="5" borderId="0" xfId="0" applyNumberFormat="1" applyFont="1" applyFill="1" applyBorder="1" applyAlignment="1" applyProtection="1">
      <alignment horizontal="left"/>
    </xf>
    <xf numFmtId="166" fontId="5" fillId="5" borderId="0" xfId="2" applyNumberFormat="1" applyFont="1" applyFill="1" applyAlignment="1" applyProtection="1">
      <alignment horizontal="center" vertical="center" wrapText="1"/>
    </xf>
    <xf numFmtId="0" fontId="18" fillId="5" borderId="0" xfId="0" applyFont="1" applyFill="1" applyBorder="1" applyAlignment="1" applyProtection="1">
      <alignment horizontal="center" wrapText="1"/>
    </xf>
    <xf numFmtId="0" fontId="19" fillId="5" borderId="0" xfId="0" applyFont="1" applyFill="1" applyBorder="1" applyAlignment="1" applyProtection="1">
      <alignment horizontal="left" wrapText="1"/>
    </xf>
    <xf numFmtId="166" fontId="19" fillId="5" borderId="0" xfId="0" applyNumberFormat="1" applyFont="1" applyFill="1" applyBorder="1" applyAlignment="1" applyProtection="1">
      <alignment horizontal="left" wrapText="1"/>
    </xf>
    <xf numFmtId="44" fontId="5" fillId="5" borderId="0" xfId="2" applyNumberFormat="1" applyFont="1" applyFill="1" applyBorder="1" applyProtection="1"/>
    <xf numFmtId="44" fontId="19" fillId="5" borderId="0" xfId="2" applyNumberFormat="1" applyFont="1" applyFill="1" applyBorder="1" applyAlignment="1" applyProtection="1">
      <alignment horizontal="center" vertical="center" wrapText="1"/>
    </xf>
    <xf numFmtId="166" fontId="19" fillId="5" borderId="0" xfId="2" applyNumberFormat="1" applyFont="1" applyFill="1" applyBorder="1" applyAlignment="1" applyProtection="1">
      <alignment horizontal="right" wrapText="1"/>
    </xf>
    <xf numFmtId="166" fontId="17" fillId="5" borderId="0" xfId="0" applyNumberFormat="1" applyFont="1" applyFill="1" applyBorder="1" applyAlignment="1" applyProtection="1">
      <alignment horizontal="left" wrapText="1"/>
    </xf>
    <xf numFmtId="0" fontId="19" fillId="5" borderId="0" xfId="0" applyFont="1" applyFill="1" applyBorder="1" applyAlignment="1" applyProtection="1">
      <alignment horizontal="justify" wrapText="1"/>
    </xf>
    <xf numFmtId="0" fontId="19" fillId="5" borderId="8" xfId="0" applyFont="1" applyFill="1" applyBorder="1" applyAlignment="1" applyProtection="1">
      <alignment horizontal="justify" wrapText="1"/>
    </xf>
    <xf numFmtId="0" fontId="19" fillId="5" borderId="8" xfId="0" applyFont="1" applyFill="1" applyBorder="1" applyAlignment="1" applyProtection="1">
      <alignment horizontal="left" wrapText="1"/>
    </xf>
    <xf numFmtId="166" fontId="19" fillId="5" borderId="0" xfId="0" applyNumberFormat="1" applyFont="1" applyFill="1" applyBorder="1" applyAlignment="1" applyProtection="1">
      <alignment horizontal="justify" wrapText="1"/>
    </xf>
    <xf numFmtId="44" fontId="5" fillId="5" borderId="0" xfId="2" applyNumberFormat="1" applyFont="1" applyFill="1" applyBorder="1" applyAlignment="1" applyProtection="1">
      <alignment horizontal="center" vertical="center"/>
    </xf>
    <xf numFmtId="166" fontId="5" fillId="5" borderId="0" xfId="2" applyNumberFormat="1" applyFont="1" applyFill="1" applyBorder="1" applyAlignment="1" applyProtection="1">
      <alignment horizontal="center" vertical="center" wrapText="1"/>
    </xf>
    <xf numFmtId="44" fontId="9" fillId="5" borderId="0" xfId="2" applyNumberFormat="1" applyFont="1" applyFill="1" applyBorder="1" applyAlignment="1" applyProtection="1">
      <alignment horizontal="left"/>
    </xf>
    <xf numFmtId="44" fontId="5" fillId="5" borderId="0" xfId="2" applyNumberFormat="1" applyFont="1" applyFill="1" applyProtection="1"/>
    <xf numFmtId="44" fontId="19" fillId="5" borderId="0" xfId="2" applyNumberFormat="1" applyFont="1" applyFill="1" applyBorder="1" applyAlignment="1" applyProtection="1">
      <alignment horizontal="right" wrapText="1"/>
    </xf>
    <xf numFmtId="166" fontId="20" fillId="5" borderId="0" xfId="2" applyNumberFormat="1" applyFont="1" applyFill="1" applyBorder="1" applyAlignment="1" applyProtection="1">
      <alignment horizontal="right" wrapText="1"/>
    </xf>
    <xf numFmtId="44" fontId="20" fillId="5" borderId="0" xfId="2" applyNumberFormat="1" applyFont="1" applyFill="1" applyBorder="1" applyAlignment="1" applyProtection="1">
      <alignment horizontal="center" vertical="center" wrapText="1"/>
    </xf>
    <xf numFmtId="166" fontId="5" fillId="5" borderId="0" xfId="2" applyNumberFormat="1" applyFont="1" applyFill="1" applyProtection="1"/>
    <xf numFmtId="44" fontId="5" fillId="5" borderId="1" xfId="0" applyNumberFormat="1" applyFont="1" applyFill="1" applyBorder="1" applyAlignment="1" applyProtection="1">
      <alignment horizontal="left"/>
    </xf>
    <xf numFmtId="44" fontId="5" fillId="5" borderId="1" xfId="0" applyNumberFormat="1" applyFont="1" applyFill="1" applyBorder="1" applyAlignment="1" applyProtection="1">
      <alignment horizontal="center" vertical="center"/>
    </xf>
    <xf numFmtId="0" fontId="5" fillId="5" borderId="9" xfId="0" applyFont="1" applyFill="1" applyBorder="1" applyProtection="1"/>
    <xf numFmtId="166" fontId="5" fillId="5" borderId="1" xfId="2" applyNumberFormat="1" applyFont="1" applyFill="1" applyBorder="1" applyAlignment="1" applyProtection="1">
      <alignment horizontal="center" vertical="center"/>
    </xf>
    <xf numFmtId="0" fontId="13" fillId="5" borderId="8" xfId="0" applyFont="1" applyFill="1" applyBorder="1" applyProtection="1"/>
    <xf numFmtId="0" fontId="13" fillId="5" borderId="0" xfId="0" applyFont="1" applyFill="1" applyProtection="1"/>
    <xf numFmtId="166" fontId="9" fillId="5" borderId="0" xfId="0" applyNumberFormat="1" applyFont="1" applyFill="1" applyProtection="1"/>
    <xf numFmtId="166" fontId="9" fillId="5" borderId="0" xfId="0" applyNumberFormat="1" applyFont="1" applyFill="1" applyAlignment="1" applyProtection="1">
      <alignment horizontal="center"/>
    </xf>
    <xf numFmtId="44" fontId="9" fillId="5" borderId="0" xfId="0" applyNumberFormat="1" applyFont="1" applyFill="1" applyAlignment="1" applyProtection="1">
      <alignment horizontal="center" vertical="center"/>
    </xf>
    <xf numFmtId="44" fontId="9" fillId="5" borderId="0" xfId="0" applyNumberFormat="1" applyFont="1" applyFill="1" applyProtection="1"/>
    <xf numFmtId="44" fontId="13" fillId="5" borderId="0" xfId="2" applyNumberFormat="1" applyFont="1" applyFill="1" applyProtection="1"/>
    <xf numFmtId="44" fontId="13" fillId="5" borderId="0" xfId="2" applyNumberFormat="1" applyFont="1" applyFill="1" applyAlignment="1" applyProtection="1">
      <alignment horizontal="center" vertical="center"/>
    </xf>
    <xf numFmtId="44" fontId="5" fillId="5" borderId="0" xfId="2" applyFont="1" applyFill="1" applyBorder="1" applyProtection="1"/>
    <xf numFmtId="0" fontId="17" fillId="5" borderId="0" xfId="0" applyFont="1" applyFill="1" applyBorder="1" applyProtection="1"/>
    <xf numFmtId="0" fontId="21" fillId="5" borderId="0" xfId="0" applyFont="1" applyFill="1" applyBorder="1" applyAlignment="1" applyProtection="1">
      <alignment horizontal="left" wrapText="1"/>
    </xf>
    <xf numFmtId="0" fontId="18" fillId="5" borderId="0" xfId="0" applyFont="1" applyFill="1" applyProtection="1"/>
    <xf numFmtId="0" fontId="0" fillId="0" borderId="0" xfId="0" applyAlignment="1">
      <alignment horizontal="right"/>
    </xf>
    <xf numFmtId="0" fontId="24" fillId="0" borderId="34" xfId="2" applyNumberFormat="1" applyFont="1" applyFill="1" applyBorder="1" applyAlignment="1">
      <alignment horizontal="right"/>
    </xf>
    <xf numFmtId="2" fontId="24" fillId="0" borderId="34" xfId="2" applyNumberFormat="1" applyFont="1" applyFill="1" applyBorder="1" applyAlignment="1">
      <alignment horizontal="right"/>
    </xf>
    <xf numFmtId="9" fontId="0" fillId="0" borderId="0" xfId="3" applyFont="1"/>
    <xf numFmtId="2" fontId="0" fillId="0" borderId="0" xfId="0" applyNumberFormat="1"/>
    <xf numFmtId="165" fontId="0" fillId="0" borderId="0" xfId="0" applyNumberFormat="1"/>
    <xf numFmtId="165" fontId="5" fillId="5" borderId="0" xfId="2" applyNumberFormat="1" applyFont="1" applyFill="1" applyAlignment="1" applyProtection="1">
      <alignment horizontal="center" vertical="center"/>
    </xf>
    <xf numFmtId="0" fontId="5" fillId="5" borderId="7" xfId="0" applyFont="1" applyFill="1" applyBorder="1" applyAlignment="1" applyProtection="1">
      <alignment horizontal="center"/>
    </xf>
    <xf numFmtId="0" fontId="9" fillId="5" borderId="2" xfId="0" applyFont="1" applyFill="1" applyBorder="1" applyAlignment="1" applyProtection="1"/>
    <xf numFmtId="0" fontId="9" fillId="5" borderId="0" xfId="0" applyFont="1" applyFill="1" applyBorder="1" applyAlignment="1" applyProtection="1"/>
    <xf numFmtId="0" fontId="9" fillId="5" borderId="7" xfId="0" applyFont="1" applyFill="1" applyBorder="1" applyAlignment="1" applyProtection="1"/>
    <xf numFmtId="0" fontId="8" fillId="5" borderId="0" xfId="0" applyFont="1" applyFill="1" applyBorder="1" applyAlignment="1" applyProtection="1">
      <alignment horizontal="center"/>
    </xf>
    <xf numFmtId="2" fontId="5" fillId="5" borderId="7" xfId="0" quotePrefix="1" applyNumberFormat="1" applyFont="1" applyFill="1" applyBorder="1" applyAlignment="1" applyProtection="1">
      <alignment horizontal="center"/>
    </xf>
    <xf numFmtId="9" fontId="5" fillId="5" borderId="0" xfId="0" applyNumberFormat="1" applyFont="1" applyFill="1" applyBorder="1" applyAlignment="1" applyProtection="1">
      <alignment horizontal="center"/>
    </xf>
    <xf numFmtId="0" fontId="3" fillId="5" borderId="1" xfId="0" applyFont="1" applyFill="1" applyBorder="1" applyProtection="1"/>
    <xf numFmtId="1" fontId="5" fillId="2" borderId="0" xfId="0" applyNumberFormat="1" applyFont="1" applyFill="1" applyBorder="1" applyAlignment="1" applyProtection="1">
      <alignment horizontal="center"/>
      <protection locked="0"/>
    </xf>
    <xf numFmtId="170" fontId="5" fillId="5" borderId="0" xfId="3" applyNumberFormat="1" applyFont="1" applyFill="1" applyBorder="1" applyAlignment="1" applyProtection="1">
      <alignment horizontal="center"/>
    </xf>
    <xf numFmtId="0" fontId="23" fillId="0" borderId="0" xfId="0" applyFont="1" applyAlignment="1">
      <alignment horizontal="left" indent="1"/>
    </xf>
    <xf numFmtId="0" fontId="47" fillId="0" borderId="0" xfId="0" applyFont="1" applyAlignment="1">
      <alignment horizontal="right"/>
    </xf>
    <xf numFmtId="1" fontId="0" fillId="0" borderId="0" xfId="0" applyNumberFormat="1"/>
    <xf numFmtId="0" fontId="47" fillId="0" borderId="0" xfId="0" applyFont="1"/>
    <xf numFmtId="2" fontId="48" fillId="0" borderId="0" xfId="0" applyNumberFormat="1" applyFont="1"/>
    <xf numFmtId="0" fontId="49" fillId="0" borderId="0" xfId="0" applyFont="1"/>
    <xf numFmtId="2" fontId="37" fillId="0" borderId="0" xfId="0" applyNumberFormat="1" applyFont="1"/>
    <xf numFmtId="1" fontId="37" fillId="0" borderId="0" xfId="0" applyNumberFormat="1" applyFont="1"/>
    <xf numFmtId="44" fontId="0" fillId="0" borderId="34" xfId="0" applyNumberFormat="1" applyBorder="1"/>
    <xf numFmtId="0" fontId="5" fillId="5" borderId="0" xfId="0" applyFont="1" applyFill="1" applyBorder="1" applyAlignment="1" applyProtection="1">
      <alignment horizontal="center" vertical="center"/>
    </xf>
    <xf numFmtId="166" fontId="9" fillId="5" borderId="0" xfId="2" applyNumberFormat="1" applyFont="1" applyFill="1" applyBorder="1" applyAlignment="1" applyProtection="1">
      <alignment horizontal="center" vertical="center"/>
    </xf>
    <xf numFmtId="44" fontId="3" fillId="5" borderId="0" xfId="0" applyNumberFormat="1" applyFont="1" applyFill="1" applyProtection="1"/>
    <xf numFmtId="166" fontId="5" fillId="2" borderId="0" xfId="2" applyNumberFormat="1" applyFont="1" applyFill="1" applyBorder="1" applyProtection="1">
      <protection locked="0"/>
    </xf>
    <xf numFmtId="9" fontId="5" fillId="5" borderId="0" xfId="3" applyFont="1" applyFill="1" applyBorder="1" applyProtection="1"/>
    <xf numFmtId="166" fontId="11" fillId="5" borderId="0" xfId="2" applyNumberFormat="1" applyFont="1" applyFill="1" applyBorder="1" applyProtection="1"/>
    <xf numFmtId="0" fontId="23" fillId="5" borderId="0" xfId="0" applyFont="1" applyFill="1" applyProtection="1"/>
    <xf numFmtId="0" fontId="4" fillId="5" borderId="0" xfId="0" applyFont="1" applyFill="1" applyAlignment="1" applyProtection="1">
      <alignment horizontal="center" vertical="center"/>
    </xf>
    <xf numFmtId="0" fontId="14" fillId="5" borderId="0" xfId="0" applyFont="1" applyFill="1" applyAlignment="1" applyProtection="1">
      <alignment horizontal="left" vertical="top"/>
    </xf>
    <xf numFmtId="0" fontId="17" fillId="5" borderId="0" xfId="0" applyFont="1" applyFill="1" applyProtection="1"/>
    <xf numFmtId="0" fontId="51" fillId="5" borderId="0" xfId="0" applyFont="1" applyFill="1" applyAlignment="1" applyProtection="1">
      <alignment vertical="center"/>
    </xf>
    <xf numFmtId="0" fontId="19" fillId="5" borderId="0" xfId="0" applyFont="1" applyFill="1" applyAlignment="1" applyProtection="1">
      <alignment vertical="center"/>
    </xf>
    <xf numFmtId="0" fontId="17" fillId="5" borderId="0" xfId="0" applyFont="1" applyFill="1" applyAlignment="1" applyProtection="1">
      <alignment vertical="center"/>
    </xf>
    <xf numFmtId="0" fontId="17" fillId="5" borderId="0" xfId="0" applyFont="1" applyFill="1" applyAlignment="1" applyProtection="1">
      <alignment vertical="center" wrapText="1"/>
    </xf>
    <xf numFmtId="0" fontId="17" fillId="5" borderId="0" xfId="0" applyFont="1" applyFill="1" applyAlignment="1" applyProtection="1">
      <alignment wrapText="1"/>
    </xf>
    <xf numFmtId="0" fontId="21" fillId="5" borderId="0" xfId="0" applyFont="1" applyFill="1" applyProtection="1"/>
    <xf numFmtId="0" fontId="23" fillId="5" borderId="0" xfId="0" applyFont="1" applyFill="1" applyAlignment="1" applyProtection="1">
      <alignment horizontal="left" vertical="top"/>
    </xf>
    <xf numFmtId="9" fontId="0" fillId="0" borderId="34" xfId="3" applyFont="1" applyBorder="1"/>
    <xf numFmtId="3" fontId="17" fillId="2" borderId="0" xfId="0" applyNumberFormat="1" applyFont="1" applyFill="1" applyBorder="1" applyAlignment="1" applyProtection="1">
      <alignment horizontal="center"/>
      <protection locked="0"/>
    </xf>
    <xf numFmtId="0" fontId="23" fillId="8" borderId="33" xfId="0" applyFont="1" applyFill="1" applyBorder="1"/>
    <xf numFmtId="44" fontId="23" fillId="8" borderId="34" xfId="0" applyNumberFormat="1" applyFont="1" applyFill="1" applyBorder="1"/>
    <xf numFmtId="0" fontId="23" fillId="8" borderId="34" xfId="0" applyFont="1" applyFill="1" applyBorder="1"/>
    <xf numFmtId="44" fontId="23" fillId="8" borderId="41" xfId="0" applyNumberFormat="1" applyFont="1" applyFill="1" applyBorder="1"/>
    <xf numFmtId="0" fontId="5" fillId="5" borderId="0" xfId="0" applyFont="1" applyFill="1" applyAlignment="1">
      <alignment horizontal="justify" wrapText="1"/>
    </xf>
    <xf numFmtId="0" fontId="5" fillId="5" borderId="0" xfId="0" applyFont="1" applyFill="1" applyAlignment="1">
      <alignment horizontal="left" wrapText="1"/>
    </xf>
    <xf numFmtId="0" fontId="8" fillId="5" borderId="0" xfId="0" applyFont="1" applyFill="1" applyAlignment="1">
      <alignment horizontal="justify" wrapText="1"/>
    </xf>
    <xf numFmtId="0" fontId="17" fillId="5" borderId="0" xfId="0" applyFont="1" applyFill="1" applyBorder="1" applyAlignment="1" applyProtection="1">
      <alignment horizontal="left" wrapText="1"/>
    </xf>
    <xf numFmtId="0" fontId="17" fillId="5" borderId="8" xfId="0" applyFont="1" applyFill="1" applyBorder="1" applyAlignment="1" applyProtection="1">
      <alignment horizontal="left" wrapText="1"/>
    </xf>
    <xf numFmtId="0" fontId="9" fillId="5" borderId="0" xfId="0" applyFont="1" applyFill="1" applyBorder="1" applyAlignment="1" applyProtection="1">
      <alignment horizontal="center"/>
    </xf>
    <xf numFmtId="0" fontId="9" fillId="5" borderId="7" xfId="0" applyFont="1" applyFill="1" applyBorder="1" applyAlignment="1" applyProtection="1">
      <alignment horizontal="center"/>
    </xf>
    <xf numFmtId="0" fontId="8" fillId="5" borderId="0" xfId="0" applyFont="1" applyFill="1" applyBorder="1" applyAlignment="1" applyProtection="1">
      <alignment horizontal="center" vertical="center"/>
    </xf>
    <xf numFmtId="0" fontId="8" fillId="5" borderId="7" xfId="0" applyFont="1" applyFill="1" applyBorder="1" applyAlignment="1" applyProtection="1">
      <alignment horizontal="center"/>
    </xf>
    <xf numFmtId="0" fontId="3" fillId="5" borderId="0" xfId="0" applyFont="1" applyFill="1" applyAlignment="1" applyProtection="1">
      <alignment horizontal="left" wrapText="1"/>
    </xf>
    <xf numFmtId="0" fontId="9" fillId="5" borderId="6" xfId="0" applyFont="1" applyFill="1" applyBorder="1" applyAlignment="1" applyProtection="1">
      <alignment horizontal="center"/>
    </xf>
    <xf numFmtId="0" fontId="9" fillId="5" borderId="6" xfId="0" applyFont="1" applyFill="1" applyBorder="1" applyAlignment="1" applyProtection="1">
      <alignment horizontal="center" wrapText="1"/>
    </xf>
    <xf numFmtId="0" fontId="52" fillId="0" borderId="2" xfId="0" applyFont="1" applyFill="1" applyBorder="1" applyAlignment="1">
      <alignment horizontal="left"/>
    </xf>
    <xf numFmtId="0" fontId="52" fillId="0" borderId="0" xfId="0" applyFont="1" applyFill="1" applyBorder="1" applyAlignment="1"/>
    <xf numFmtId="0" fontId="53" fillId="0" borderId="0" xfId="0" applyFont="1" applyFill="1" applyBorder="1" applyAlignment="1"/>
    <xf numFmtId="0" fontId="53" fillId="0" borderId="0" xfId="0" applyFont="1" applyFill="1" applyBorder="1" applyAlignment="1">
      <alignment horizontal="right"/>
    </xf>
    <xf numFmtId="166" fontId="24" fillId="0" borderId="8" xfId="2" applyNumberFormat="1" applyFont="1" applyFill="1" applyBorder="1"/>
    <xf numFmtId="3" fontId="27" fillId="0" borderId="0" xfId="0" applyNumberFormat="1" applyFont="1" applyFill="1" applyBorder="1" applyAlignment="1">
      <alignment horizontal="left"/>
    </xf>
    <xf numFmtId="0" fontId="24" fillId="0" borderId="14" xfId="0" applyFont="1" applyFill="1" applyBorder="1" applyAlignment="1"/>
    <xf numFmtId="4" fontId="24" fillId="0" borderId="20" xfId="0" applyNumberFormat="1" applyFont="1" applyFill="1" applyBorder="1" applyAlignment="1">
      <alignment horizontal="center"/>
    </xf>
    <xf numFmtId="166" fontId="24" fillId="0" borderId="20" xfId="0" applyNumberFormat="1" applyFont="1" applyFill="1" applyBorder="1" applyAlignment="1">
      <alignment horizontal="center"/>
    </xf>
    <xf numFmtId="172" fontId="24" fillId="0" borderId="0" xfId="0" applyNumberFormat="1" applyFont="1" applyFill="1" applyBorder="1" applyAlignment="1">
      <alignment horizontal="center"/>
    </xf>
    <xf numFmtId="0" fontId="17" fillId="5" borderId="0" xfId="0" applyFont="1" applyFill="1" applyBorder="1" applyAlignment="1" applyProtection="1">
      <alignment horizontal="left"/>
    </xf>
    <xf numFmtId="166" fontId="54" fillId="5" borderId="0" xfId="2" applyNumberFormat="1" applyFont="1" applyFill="1" applyBorder="1" applyAlignment="1">
      <alignment horizontal="right" vertical="center"/>
    </xf>
    <xf numFmtId="9" fontId="0" fillId="13" borderId="0" xfId="3" applyFont="1" applyFill="1"/>
    <xf numFmtId="166" fontId="57" fillId="4" borderId="0" xfId="5" applyNumberFormat="1" applyFont="1" applyFill="1" applyAlignment="1" applyProtection="1">
      <alignment horizontal="center"/>
    </xf>
    <xf numFmtId="168" fontId="5" fillId="5" borderId="0" xfId="1" applyNumberFormat="1" applyFont="1" applyFill="1" applyAlignment="1" applyProtection="1">
      <alignment horizontal="center"/>
    </xf>
    <xf numFmtId="170" fontId="5" fillId="5" borderId="0" xfId="3" applyNumberFormat="1" applyFont="1" applyFill="1" applyAlignment="1" applyProtection="1">
      <alignment horizontal="center" vertical="center"/>
    </xf>
    <xf numFmtId="170" fontId="5" fillId="2" borderId="0" xfId="3" applyNumberFormat="1" applyFont="1" applyFill="1" applyBorder="1" applyAlignment="1" applyProtection="1">
      <alignment horizontal="center"/>
      <protection locked="0"/>
    </xf>
    <xf numFmtId="1" fontId="5" fillId="5" borderId="0" xfId="3" applyNumberFormat="1" applyFont="1" applyFill="1" applyBorder="1" applyAlignment="1" applyProtection="1">
      <alignment horizontal="center"/>
    </xf>
    <xf numFmtId="44" fontId="17" fillId="5" borderId="0" xfId="2" applyNumberFormat="1" applyFont="1" applyFill="1" applyBorder="1" applyAlignment="1" applyProtection="1">
      <alignment horizontal="center" vertical="center"/>
    </xf>
    <xf numFmtId="44" fontId="5" fillId="5" borderId="0" xfId="0" applyNumberFormat="1" applyFont="1" applyFill="1" applyBorder="1" applyAlignment="1" applyProtection="1">
      <alignment horizontal="left"/>
    </xf>
    <xf numFmtId="44" fontId="5" fillId="5" borderId="0" xfId="0" applyNumberFormat="1" applyFont="1" applyFill="1" applyBorder="1" applyAlignment="1" applyProtection="1">
      <alignment horizontal="center" vertical="center"/>
    </xf>
    <xf numFmtId="44" fontId="11" fillId="5" borderId="0" xfId="0" applyNumberFormat="1" applyFont="1" applyFill="1" applyBorder="1" applyAlignment="1" applyProtection="1">
      <alignment horizontal="left"/>
    </xf>
    <xf numFmtId="44" fontId="11" fillId="5" borderId="0" xfId="2" applyNumberFormat="1" applyFont="1" applyFill="1" applyBorder="1" applyAlignment="1" applyProtection="1">
      <alignment horizontal="center" vertical="center"/>
    </xf>
    <xf numFmtId="44" fontId="9" fillId="5" borderId="0" xfId="2" applyNumberFormat="1" applyFont="1" applyFill="1" applyBorder="1" applyAlignment="1" applyProtection="1">
      <alignment horizontal="center"/>
    </xf>
    <xf numFmtId="44" fontId="13" fillId="5" borderId="0" xfId="0" applyNumberFormat="1" applyFont="1" applyFill="1" applyBorder="1" applyAlignment="1" applyProtection="1">
      <alignment horizontal="left"/>
    </xf>
    <xf numFmtId="44" fontId="5" fillId="5" borderId="1" xfId="0" applyNumberFormat="1" applyFont="1" applyFill="1" applyBorder="1" applyAlignment="1" applyProtection="1">
      <alignment horizontal="center"/>
    </xf>
    <xf numFmtId="44" fontId="5" fillId="5" borderId="1" xfId="0" applyNumberFormat="1" applyFont="1" applyFill="1" applyBorder="1" applyAlignment="1" applyProtection="1">
      <alignment horizontal="right"/>
    </xf>
    <xf numFmtId="174" fontId="5" fillId="5" borderId="0" xfId="2" applyNumberFormat="1" applyFont="1" applyFill="1" applyAlignment="1" applyProtection="1">
      <alignment horizontal="center" vertical="center"/>
    </xf>
    <xf numFmtId="2" fontId="11" fillId="5" borderId="0" xfId="0" applyNumberFormat="1" applyFont="1" applyFill="1" applyBorder="1" applyAlignment="1" applyProtection="1">
      <alignment horizontal="center"/>
    </xf>
    <xf numFmtId="165" fontId="10" fillId="5" borderId="0" xfId="2" applyNumberFormat="1" applyFont="1" applyFill="1" applyAlignment="1" applyProtection="1">
      <alignment horizontal="center" vertical="center"/>
    </xf>
    <xf numFmtId="168" fontId="5" fillId="2" borderId="0" xfId="1" applyNumberFormat="1" applyFont="1" applyFill="1" applyBorder="1" applyAlignment="1" applyProtection="1">
      <alignment horizontal="center"/>
      <protection locked="0"/>
    </xf>
    <xf numFmtId="0" fontId="14" fillId="5" borderId="0" xfId="0" applyFont="1" applyFill="1" applyAlignment="1" applyProtection="1">
      <alignment horizontal="left" wrapText="1"/>
    </xf>
    <xf numFmtId="0" fontId="14" fillId="5" borderId="0" xfId="0" applyFont="1" applyFill="1" applyBorder="1" applyAlignment="1" applyProtection="1">
      <alignment horizontal="left" wrapText="1"/>
    </xf>
    <xf numFmtId="0" fontId="0" fillId="5" borderId="0" xfId="0" applyFill="1" applyProtection="1"/>
    <xf numFmtId="0" fontId="5" fillId="5" borderId="0" xfId="0" applyFont="1" applyFill="1" applyAlignment="1" applyProtection="1">
      <alignment horizontal="left" wrapText="1"/>
    </xf>
    <xf numFmtId="0" fontId="4" fillId="5" borderId="0" xfId="0" applyFont="1" applyFill="1" applyAlignment="1" applyProtection="1">
      <alignment vertical="center"/>
    </xf>
    <xf numFmtId="0" fontId="8" fillId="5" borderId="0" xfId="0" applyFont="1" applyFill="1" applyAlignment="1" applyProtection="1">
      <alignment horizontal="right" vertical="center"/>
    </xf>
    <xf numFmtId="0" fontId="8" fillId="5" borderId="0" xfId="0" applyFont="1" applyFill="1" applyBorder="1" applyAlignment="1" applyProtection="1">
      <alignment vertical="center"/>
    </xf>
    <xf numFmtId="0" fontId="8" fillId="5" borderId="0" xfId="0" applyFont="1" applyFill="1" applyBorder="1" applyAlignment="1" applyProtection="1">
      <alignment horizontal="left" vertical="center"/>
    </xf>
    <xf numFmtId="0" fontId="5" fillId="5" borderId="0" xfId="0" applyFont="1" applyFill="1" applyBorder="1" applyAlignment="1" applyProtection="1">
      <alignment vertical="center"/>
    </xf>
    <xf numFmtId="0" fontId="8" fillId="5" borderId="0" xfId="0" applyFont="1" applyFill="1" applyProtection="1"/>
    <xf numFmtId="0" fontId="8" fillId="5" borderId="7" xfId="0" applyFont="1" applyFill="1" applyBorder="1" applyAlignment="1" applyProtection="1">
      <alignment horizontal="center" vertical="center" wrapText="1"/>
    </xf>
    <xf numFmtId="0" fontId="5" fillId="5" borderId="7" xfId="0" applyFont="1" applyFill="1" applyBorder="1" applyAlignment="1" applyProtection="1">
      <alignment vertical="center"/>
    </xf>
    <xf numFmtId="3" fontId="5" fillId="5" borderId="0" xfId="0" quotePrefix="1" applyNumberFormat="1" applyFont="1" applyFill="1" applyBorder="1" applyAlignment="1" applyProtection="1">
      <alignment horizontal="center"/>
    </xf>
    <xf numFmtId="0" fontId="17" fillId="5" borderId="0" xfId="0" applyFont="1" applyFill="1" applyBorder="1" applyAlignment="1" applyProtection="1">
      <alignment horizontal="center" wrapText="1"/>
    </xf>
    <xf numFmtId="44" fontId="19" fillId="5" borderId="0" xfId="2" applyFont="1" applyFill="1" applyBorder="1" applyAlignment="1" applyProtection="1">
      <alignment horizontal="center" wrapText="1"/>
    </xf>
    <xf numFmtId="0" fontId="5" fillId="5" borderId="0" xfId="0" applyFont="1" applyFill="1" applyBorder="1" applyAlignment="1" applyProtection="1">
      <alignment horizontal="left" vertical="center"/>
    </xf>
    <xf numFmtId="0" fontId="5" fillId="5" borderId="0" xfId="0" applyFont="1" applyFill="1" applyAlignment="1" applyProtection="1">
      <alignment horizontal="left" vertical="center"/>
    </xf>
    <xf numFmtId="0" fontId="0" fillId="5" borderId="0" xfId="0" applyFill="1" applyBorder="1" applyProtection="1"/>
    <xf numFmtId="165" fontId="5" fillId="5" borderId="0" xfId="0" applyNumberFormat="1" applyFont="1" applyFill="1" applyAlignment="1" applyProtection="1">
      <alignment horizontal="center"/>
    </xf>
    <xf numFmtId="0" fontId="8" fillId="5" borderId="7" xfId="0" applyFont="1" applyFill="1" applyBorder="1" applyAlignment="1" applyProtection="1">
      <alignment horizontal="center" vertical="center"/>
    </xf>
    <xf numFmtId="165" fontId="5" fillId="5" borderId="0" xfId="0" applyNumberFormat="1" applyFont="1" applyFill="1" applyAlignment="1" applyProtection="1">
      <alignment horizontal="center" vertical="center"/>
    </xf>
    <xf numFmtId="170" fontId="5" fillId="5" borderId="0" xfId="3" quotePrefix="1" applyNumberFormat="1" applyFont="1" applyFill="1" applyBorder="1" applyAlignment="1" applyProtection="1">
      <alignment horizontal="center" vertical="center"/>
    </xf>
    <xf numFmtId="0" fontId="5" fillId="5" borderId="0" xfId="0" quotePrefix="1" applyFont="1" applyFill="1" applyBorder="1" applyAlignment="1" applyProtection="1">
      <alignment horizontal="center" vertical="center"/>
    </xf>
    <xf numFmtId="0" fontId="0" fillId="5" borderId="0" xfId="0" applyFill="1" applyAlignment="1" applyProtection="1">
      <alignment vertical="center"/>
    </xf>
    <xf numFmtId="0" fontId="5" fillId="5" borderId="0" xfId="0" applyFont="1" applyFill="1" applyAlignment="1" applyProtection="1">
      <alignment vertical="center"/>
    </xf>
    <xf numFmtId="3" fontId="5" fillId="5" borderId="0" xfId="0" quotePrefix="1" applyNumberFormat="1" applyFont="1" applyFill="1" applyBorder="1" applyAlignment="1" applyProtection="1">
      <alignment horizontal="center" vertical="center"/>
    </xf>
    <xf numFmtId="2" fontId="5" fillId="5" borderId="0" xfId="0" applyNumberFormat="1" applyFont="1" applyFill="1" applyAlignment="1" applyProtection="1">
      <alignment horizontal="center" vertical="center"/>
    </xf>
    <xf numFmtId="1" fontId="5" fillId="5" borderId="0" xfId="0" applyNumberFormat="1" applyFont="1" applyFill="1" applyBorder="1" applyAlignment="1" applyProtection="1">
      <alignment horizontal="center" vertical="center"/>
    </xf>
    <xf numFmtId="4" fontId="5" fillId="5" borderId="0" xfId="0" quotePrefix="1" applyNumberFormat="1" applyFont="1" applyFill="1" applyBorder="1" applyAlignment="1" applyProtection="1">
      <alignment horizontal="center" vertical="center"/>
    </xf>
    <xf numFmtId="3" fontId="17" fillId="5" borderId="0" xfId="2" quotePrefix="1" applyNumberFormat="1" applyFont="1" applyFill="1" applyBorder="1" applyAlignment="1" applyProtection="1">
      <alignment horizontal="center" vertical="center"/>
    </xf>
    <xf numFmtId="4" fontId="17" fillId="5" borderId="0" xfId="2" quotePrefix="1" applyNumberFormat="1" applyFont="1" applyFill="1" applyBorder="1" applyAlignment="1" applyProtection="1">
      <alignment horizontal="center" vertical="center"/>
    </xf>
    <xf numFmtId="1" fontId="5" fillId="5" borderId="0" xfId="0" applyNumberFormat="1" applyFont="1" applyFill="1" applyAlignment="1" applyProtection="1">
      <alignment horizontal="center" vertical="center"/>
    </xf>
    <xf numFmtId="2" fontId="5" fillId="5" borderId="0" xfId="0" applyNumberFormat="1" applyFont="1" applyFill="1" applyBorder="1" applyAlignment="1" applyProtection="1">
      <alignment horizontal="center" vertical="center"/>
    </xf>
    <xf numFmtId="170" fontId="17" fillId="5" borderId="0" xfId="3" quotePrefix="1" applyNumberFormat="1" applyFont="1" applyFill="1" applyBorder="1" applyAlignment="1" applyProtection="1">
      <alignment horizontal="center" vertical="center"/>
    </xf>
    <xf numFmtId="4" fontId="41" fillId="5" borderId="0" xfId="0" quotePrefix="1" applyNumberFormat="1" applyFont="1" applyFill="1" applyBorder="1" applyAlignment="1" applyProtection="1">
      <alignment horizontal="center" vertical="center"/>
    </xf>
    <xf numFmtId="170" fontId="5" fillId="5" borderId="0" xfId="3" applyNumberFormat="1" applyFont="1" applyFill="1" applyBorder="1" applyAlignment="1" applyProtection="1">
      <alignment horizontal="center" vertical="center"/>
    </xf>
    <xf numFmtId="0" fontId="5" fillId="5" borderId="0" xfId="0" applyFont="1" applyFill="1" applyAlignment="1" applyProtection="1">
      <alignment horizontal="center" vertical="center"/>
    </xf>
    <xf numFmtId="0" fontId="41" fillId="5" borderId="0" xfId="0" applyFont="1" applyFill="1" applyBorder="1" applyAlignment="1" applyProtection="1">
      <alignment horizontal="right"/>
    </xf>
    <xf numFmtId="0" fontId="41" fillId="5" borderId="0" xfId="0" applyFont="1" applyFill="1" applyBorder="1" applyProtection="1"/>
    <xf numFmtId="3" fontId="41" fillId="5" borderId="0" xfId="2" quotePrefix="1" applyNumberFormat="1" applyFont="1" applyFill="1" applyBorder="1" applyAlignment="1" applyProtection="1">
      <alignment horizontal="center"/>
    </xf>
    <xf numFmtId="0" fontId="41" fillId="5" borderId="0" xfId="0" applyFont="1" applyFill="1" applyBorder="1" applyAlignment="1" applyProtection="1">
      <alignment horizontal="center"/>
    </xf>
    <xf numFmtId="4" fontId="41" fillId="5" borderId="0" xfId="0" quotePrefix="1" applyNumberFormat="1" applyFont="1" applyFill="1" applyBorder="1" applyAlignment="1" applyProtection="1">
      <alignment horizontal="center"/>
    </xf>
    <xf numFmtId="0" fontId="41" fillId="5" borderId="0" xfId="0" quotePrefix="1" applyFont="1" applyFill="1" applyBorder="1" applyAlignment="1" applyProtection="1">
      <alignment horizontal="center"/>
    </xf>
    <xf numFmtId="2" fontId="41" fillId="5" borderId="0" xfId="0" quotePrefix="1" applyNumberFormat="1" applyFont="1" applyFill="1" applyBorder="1" applyAlignment="1" applyProtection="1">
      <alignment horizontal="center"/>
    </xf>
    <xf numFmtId="3" fontId="17" fillId="5" borderId="0" xfId="2" quotePrefix="1" applyNumberFormat="1" applyFont="1" applyFill="1" applyBorder="1" applyAlignment="1" applyProtection="1">
      <alignment horizontal="center"/>
    </xf>
    <xf numFmtId="4" fontId="17" fillId="5" borderId="0" xfId="2" quotePrefix="1" applyNumberFormat="1" applyFont="1" applyFill="1" applyBorder="1" applyAlignment="1" applyProtection="1">
      <alignment horizontal="center"/>
    </xf>
    <xf numFmtId="1" fontId="5" fillId="5" borderId="0" xfId="0" applyNumberFormat="1" applyFont="1" applyFill="1" applyAlignment="1" applyProtection="1">
      <alignment horizontal="center"/>
    </xf>
    <xf numFmtId="2" fontId="5" fillId="5" borderId="0" xfId="0" applyNumberFormat="1" applyFont="1" applyFill="1" applyAlignment="1" applyProtection="1">
      <alignment horizontal="center"/>
    </xf>
    <xf numFmtId="0" fontId="11" fillId="5" borderId="0" xfId="0" applyFont="1" applyFill="1" applyBorder="1" applyProtection="1"/>
    <xf numFmtId="166" fontId="11" fillId="5" borderId="0" xfId="2" quotePrefix="1" applyNumberFormat="1" applyFont="1" applyFill="1" applyBorder="1" applyProtection="1"/>
    <xf numFmtId="44" fontId="11" fillId="5" borderId="0" xfId="2" quotePrefix="1" applyNumberFormat="1" applyFont="1" applyFill="1" applyBorder="1" applyProtection="1"/>
    <xf numFmtId="0" fontId="11" fillId="5" borderId="0" xfId="0" quotePrefix="1" applyFont="1" applyFill="1" applyBorder="1" applyProtection="1"/>
    <xf numFmtId="44" fontId="11" fillId="5" borderId="0" xfId="0" quotePrefix="1" applyNumberFormat="1" applyFont="1" applyFill="1" applyBorder="1" applyProtection="1"/>
    <xf numFmtId="0" fontId="42" fillId="5" borderId="0" xfId="0" applyFont="1" applyFill="1" applyBorder="1" applyProtection="1"/>
    <xf numFmtId="166" fontId="5" fillId="5" borderId="0" xfId="2" quotePrefix="1" applyNumberFormat="1" applyFont="1" applyFill="1" applyBorder="1" applyProtection="1"/>
    <xf numFmtId="166" fontId="17" fillId="5" borderId="0" xfId="2" applyNumberFormat="1" applyFont="1" applyFill="1" applyBorder="1" applyAlignment="1" applyProtection="1">
      <alignment horizontal="right" wrapText="1"/>
    </xf>
    <xf numFmtId="44" fontId="17" fillId="5" borderId="0" xfId="2" applyNumberFormat="1" applyFont="1" applyFill="1" applyBorder="1" applyAlignment="1" applyProtection="1">
      <alignment horizontal="right" wrapText="1"/>
    </xf>
    <xf numFmtId="44" fontId="12" fillId="5" borderId="0" xfId="2" applyFont="1" applyFill="1" applyBorder="1" applyAlignment="1" applyProtection="1">
      <alignment horizontal="center" vertical="center"/>
    </xf>
    <xf numFmtId="44" fontId="17" fillId="5" borderId="0" xfId="2" applyFont="1" applyFill="1" applyBorder="1" applyAlignment="1" applyProtection="1">
      <alignment horizontal="right" wrapText="1"/>
    </xf>
    <xf numFmtId="0" fontId="5" fillId="5" borderId="10" xfId="0" applyFont="1" applyFill="1" applyBorder="1" applyProtection="1"/>
    <xf numFmtId="166" fontId="5" fillId="5" borderId="10" xfId="2" applyNumberFormat="1" applyFont="1" applyFill="1" applyBorder="1" applyProtection="1"/>
    <xf numFmtId="44" fontId="5" fillId="5" borderId="10" xfId="2" applyNumberFormat="1" applyFont="1" applyFill="1" applyBorder="1" applyProtection="1"/>
    <xf numFmtId="166" fontId="8" fillId="5" borderId="0" xfId="2" quotePrefix="1" applyNumberFormat="1" applyFont="1" applyFill="1" applyBorder="1" applyProtection="1"/>
    <xf numFmtId="166" fontId="8" fillId="5" borderId="0" xfId="2" applyNumberFormat="1" applyFont="1" applyFill="1" applyBorder="1" applyProtection="1"/>
    <xf numFmtId="44" fontId="8" fillId="5" borderId="0" xfId="2" applyNumberFormat="1" applyFont="1" applyFill="1" applyBorder="1" applyProtection="1"/>
    <xf numFmtId="44" fontId="5" fillId="5" borderId="0" xfId="0" applyNumberFormat="1" applyFont="1" applyFill="1" applyBorder="1" applyProtection="1"/>
    <xf numFmtId="44" fontId="5" fillId="5" borderId="7" xfId="0" applyNumberFormat="1" applyFont="1" applyFill="1" applyBorder="1" applyProtection="1"/>
    <xf numFmtId="166" fontId="43" fillId="5" borderId="0" xfId="2" applyNumberFormat="1" applyFont="1" applyFill="1" applyBorder="1" applyProtection="1"/>
    <xf numFmtId="166" fontId="12" fillId="5" borderId="0" xfId="2" applyNumberFormat="1" applyFont="1" applyFill="1" applyBorder="1" applyProtection="1"/>
    <xf numFmtId="44" fontId="19" fillId="5" borderId="0" xfId="2" applyFont="1" applyFill="1" applyBorder="1" applyAlignment="1" applyProtection="1">
      <alignment horizontal="right" wrapText="1"/>
    </xf>
    <xf numFmtId="44" fontId="12" fillId="5" borderId="0" xfId="2" applyNumberFormat="1" applyFont="1" applyFill="1" applyBorder="1" applyProtection="1"/>
    <xf numFmtId="0" fontId="5" fillId="5" borderId="10" xfId="0" applyFont="1" applyFill="1" applyBorder="1" applyAlignment="1" applyProtection="1">
      <alignment horizontal="right"/>
    </xf>
    <xf numFmtId="0" fontId="10" fillId="3" borderId="0" xfId="0" applyFont="1" applyFill="1" applyBorder="1" applyProtection="1"/>
    <xf numFmtId="166" fontId="16" fillId="3" borderId="0" xfId="2" applyNumberFormat="1" applyFont="1" applyFill="1" applyBorder="1" applyAlignment="1" applyProtection="1">
      <alignment horizontal="right"/>
    </xf>
    <xf numFmtId="44" fontId="16" fillId="3" borderId="0" xfId="2" applyNumberFormat="1" applyFont="1" applyFill="1" applyBorder="1" applyAlignment="1" applyProtection="1">
      <alignment horizontal="right"/>
    </xf>
    <xf numFmtId="44" fontId="8" fillId="3" borderId="0" xfId="2" applyNumberFormat="1" applyFont="1" applyFill="1" applyBorder="1" applyAlignment="1" applyProtection="1">
      <alignment horizontal="right"/>
    </xf>
    <xf numFmtId="0" fontId="8" fillId="5" borderId="2" xfId="0" applyFont="1" applyFill="1" applyBorder="1" applyAlignment="1" applyProtection="1">
      <alignment vertical="center" wrapText="1"/>
    </xf>
    <xf numFmtId="0" fontId="8" fillId="5" borderId="6" xfId="0" applyFont="1" applyFill="1" applyBorder="1" applyProtection="1"/>
    <xf numFmtId="0" fontId="8" fillId="5" borderId="6" xfId="0" applyFont="1" applyFill="1" applyBorder="1" applyAlignment="1" applyProtection="1">
      <alignment vertical="center" wrapText="1"/>
    </xf>
    <xf numFmtId="0" fontId="8" fillId="5" borderId="38" xfId="0" applyFont="1" applyFill="1" applyBorder="1" applyAlignment="1" applyProtection="1">
      <alignment horizontal="center" vertical="center" wrapText="1"/>
    </xf>
    <xf numFmtId="0" fontId="5" fillId="5" borderId="38" xfId="0" applyFont="1" applyFill="1" applyBorder="1" applyAlignment="1" applyProtection="1">
      <alignment vertical="center"/>
    </xf>
    <xf numFmtId="0" fontId="16" fillId="3" borderId="0" xfId="0" applyFont="1" applyFill="1" applyBorder="1" applyAlignment="1" applyProtection="1">
      <alignment horizontal="left" wrapText="1"/>
    </xf>
    <xf numFmtId="0" fontId="19" fillId="3" borderId="0" xfId="0" applyFont="1" applyFill="1" applyBorder="1" applyAlignment="1" applyProtection="1">
      <alignment horizontal="left" wrapText="1"/>
    </xf>
    <xf numFmtId="0" fontId="17" fillId="3" borderId="0" xfId="0" applyFont="1" applyFill="1" applyBorder="1" applyAlignment="1" applyProtection="1">
      <alignment horizontal="left" wrapText="1"/>
    </xf>
    <xf numFmtId="44" fontId="19" fillId="3" borderId="0" xfId="2" applyFont="1" applyFill="1" applyBorder="1" applyAlignment="1" applyProtection="1">
      <alignment horizontal="right" wrapText="1"/>
    </xf>
    <xf numFmtId="44" fontId="16" fillId="3" borderId="0" xfId="2" applyFont="1" applyFill="1" applyBorder="1" applyAlignment="1" applyProtection="1">
      <alignment horizontal="right" wrapText="1"/>
    </xf>
    <xf numFmtId="44" fontId="10" fillId="3" borderId="0" xfId="2" applyFont="1" applyFill="1" applyProtection="1"/>
    <xf numFmtId="44" fontId="5" fillId="3" borderId="0" xfId="2" applyFont="1" applyFill="1" applyProtection="1"/>
    <xf numFmtId="44" fontId="5" fillId="5" borderId="0" xfId="2" applyFont="1" applyFill="1" applyProtection="1"/>
    <xf numFmtId="0" fontId="5" fillId="17" borderId="0" xfId="0" applyFont="1" applyFill="1" applyBorder="1" applyProtection="1"/>
    <xf numFmtId="0" fontId="42" fillId="17" borderId="8" xfId="0" applyFont="1" applyFill="1" applyBorder="1" applyAlignment="1" applyProtection="1">
      <alignment horizontal="right"/>
    </xf>
    <xf numFmtId="0" fontId="42" fillId="17" borderId="0" xfId="0" applyFont="1" applyFill="1" applyProtection="1"/>
    <xf numFmtId="166" fontId="42" fillId="17" borderId="0" xfId="2" applyNumberFormat="1" applyFont="1" applyFill="1" applyAlignment="1" applyProtection="1">
      <alignment horizontal="center" vertical="center"/>
    </xf>
    <xf numFmtId="44" fontId="42" fillId="17" borderId="0" xfId="0" applyNumberFormat="1" applyFont="1" applyFill="1" applyProtection="1"/>
    <xf numFmtId="44" fontId="42" fillId="17" borderId="0" xfId="2" applyNumberFormat="1" applyFont="1" applyFill="1" applyAlignment="1" applyProtection="1">
      <alignment horizontal="center" vertical="center"/>
    </xf>
    <xf numFmtId="44" fontId="11" fillId="5" borderId="0" xfId="2" applyNumberFormat="1" applyFont="1" applyFill="1" applyAlignment="1" applyProtection="1">
      <alignment horizontal="center" vertical="center"/>
    </xf>
    <xf numFmtId="0" fontId="11" fillId="5" borderId="8" xfId="0" applyFont="1" applyFill="1" applyBorder="1" applyAlignment="1" applyProtection="1">
      <alignment horizontal="right"/>
    </xf>
    <xf numFmtId="0" fontId="11" fillId="5" borderId="0" xfId="0" applyFont="1" applyFill="1" applyBorder="1" applyAlignment="1" applyProtection="1">
      <alignment horizontal="left" wrapText="1"/>
    </xf>
    <xf numFmtId="166" fontId="11" fillId="5" borderId="0" xfId="2" applyNumberFormat="1" applyFont="1" applyFill="1" applyAlignment="1" applyProtection="1">
      <alignment horizontal="center" vertical="center"/>
    </xf>
    <xf numFmtId="44" fontId="11" fillId="5" borderId="0" xfId="0" applyNumberFormat="1" applyFont="1" applyFill="1" applyBorder="1" applyAlignment="1" applyProtection="1">
      <alignment horizontal="left" wrapText="1"/>
    </xf>
    <xf numFmtId="44" fontId="17" fillId="5" borderId="0" xfId="0" applyNumberFormat="1" applyFont="1" applyFill="1" applyBorder="1" applyAlignment="1" applyProtection="1">
      <alignment horizontal="left" wrapText="1"/>
    </xf>
    <xf numFmtId="0" fontId="11" fillId="5" borderId="8" xfId="0" applyFont="1" applyFill="1" applyBorder="1" applyAlignment="1" applyProtection="1">
      <alignment horizontal="right" wrapText="1"/>
    </xf>
    <xf numFmtId="0" fontId="17" fillId="5" borderId="0" xfId="0" applyFont="1" applyFill="1" applyBorder="1" applyAlignment="1" applyProtection="1">
      <alignment wrapText="1"/>
    </xf>
    <xf numFmtId="0" fontId="42" fillId="5" borderId="8" xfId="0" applyFont="1" applyFill="1" applyBorder="1" applyAlignment="1" applyProtection="1">
      <alignment horizontal="right"/>
    </xf>
    <xf numFmtId="166" fontId="42" fillId="5" borderId="0" xfId="2" applyNumberFormat="1" applyFont="1" applyFill="1" applyAlignment="1" applyProtection="1">
      <alignment horizontal="center" vertical="center"/>
    </xf>
    <xf numFmtId="44" fontId="42" fillId="5" borderId="0" xfId="2" applyNumberFormat="1" applyFont="1" applyFill="1" applyAlignment="1" applyProtection="1">
      <alignment horizontal="center" vertical="center"/>
    </xf>
    <xf numFmtId="44" fontId="11" fillId="5" borderId="0" xfId="0" applyNumberFormat="1" applyFont="1" applyFill="1" applyProtection="1"/>
    <xf numFmtId="166" fontId="11" fillId="5" borderId="0" xfId="2" applyNumberFormat="1" applyFont="1" applyFill="1" applyBorder="1" applyAlignment="1" applyProtection="1">
      <alignment horizontal="right" wrapText="1"/>
    </xf>
    <xf numFmtId="44" fontId="11" fillId="5" borderId="0" xfId="2" applyNumberFormat="1" applyFont="1" applyFill="1" applyBorder="1" applyAlignment="1" applyProtection="1">
      <alignment horizontal="right" wrapText="1"/>
    </xf>
    <xf numFmtId="0" fontId="11" fillId="5" borderId="0" xfId="0" applyFont="1" applyFill="1" applyProtection="1"/>
    <xf numFmtId="0" fontId="17" fillId="5" borderId="8" xfId="0" applyFont="1" applyFill="1" applyBorder="1" applyAlignment="1" applyProtection="1">
      <alignment horizontal="justify" wrapText="1"/>
    </xf>
    <xf numFmtId="0" fontId="17" fillId="5" borderId="0" xfId="0" applyFont="1" applyFill="1" applyBorder="1" applyAlignment="1" applyProtection="1">
      <alignment horizontal="justify" wrapText="1"/>
    </xf>
    <xf numFmtId="44" fontId="17" fillId="5" borderId="0" xfId="0" applyNumberFormat="1" applyFont="1" applyFill="1" applyBorder="1" applyAlignment="1" applyProtection="1">
      <alignment horizontal="justify" wrapText="1"/>
    </xf>
    <xf numFmtId="166" fontId="44" fillId="5" borderId="0" xfId="2" applyNumberFormat="1" applyFont="1" applyFill="1" applyBorder="1" applyAlignment="1" applyProtection="1">
      <alignment horizontal="right" wrapText="1"/>
    </xf>
    <xf numFmtId="44" fontId="44" fillId="5" borderId="0" xfId="2" applyNumberFormat="1" applyFont="1" applyFill="1" applyBorder="1" applyAlignment="1" applyProtection="1">
      <alignment horizontal="right" wrapText="1"/>
    </xf>
    <xf numFmtId="0" fontId="5" fillId="5" borderId="39" xfId="0" applyFont="1" applyFill="1" applyBorder="1" applyProtection="1"/>
    <xf numFmtId="166" fontId="5" fillId="5" borderId="7" xfId="2" applyNumberFormat="1" applyFont="1" applyFill="1" applyBorder="1" applyProtection="1"/>
    <xf numFmtId="44" fontId="5" fillId="5" borderId="7" xfId="2" applyNumberFormat="1" applyFont="1" applyFill="1" applyBorder="1" applyProtection="1"/>
    <xf numFmtId="166" fontId="8" fillId="5" borderId="0" xfId="2" applyNumberFormat="1" applyFont="1" applyFill="1" applyAlignment="1" applyProtection="1">
      <alignment horizontal="center" vertical="center"/>
    </xf>
    <xf numFmtId="44" fontId="19" fillId="5" borderId="0" xfId="0" applyNumberFormat="1" applyFont="1" applyFill="1" applyBorder="1" applyAlignment="1" applyProtection="1">
      <alignment horizontal="left" wrapText="1"/>
    </xf>
    <xf numFmtId="44" fontId="8" fillId="5" borderId="0" xfId="2" applyNumberFormat="1" applyFont="1" applyFill="1" applyAlignment="1" applyProtection="1">
      <alignment horizontal="center" vertical="center"/>
    </xf>
    <xf numFmtId="0" fontId="16" fillId="3" borderId="0" xfId="0" applyFont="1" applyFill="1" applyBorder="1" applyAlignment="1" applyProtection="1">
      <alignment horizontal="left" vertical="center" wrapText="1"/>
    </xf>
    <xf numFmtId="0" fontId="5" fillId="3" borderId="0" xfId="0" applyFont="1" applyFill="1" applyProtection="1"/>
    <xf numFmtId="166" fontId="5" fillId="3" borderId="0" xfId="2" applyNumberFormat="1" applyFont="1" applyFill="1" applyBorder="1" applyProtection="1"/>
    <xf numFmtId="44" fontId="5" fillId="3" borderId="0" xfId="0" applyNumberFormat="1" applyFont="1" applyFill="1" applyProtection="1"/>
    <xf numFmtId="44" fontId="5" fillId="3" borderId="0" xfId="2" applyNumberFormat="1" applyFont="1" applyFill="1" applyBorder="1" applyProtection="1"/>
    <xf numFmtId="0" fontId="16" fillId="3" borderId="0" xfId="0" applyFont="1" applyFill="1" applyBorder="1" applyAlignment="1" applyProtection="1">
      <alignment horizontal="left" vertical="center"/>
    </xf>
    <xf numFmtId="0" fontId="5" fillId="5" borderId="14" xfId="0" applyFont="1" applyFill="1" applyBorder="1" applyProtection="1"/>
    <xf numFmtId="7" fontId="42" fillId="17" borderId="0" xfId="2" applyNumberFormat="1" applyFont="1" applyFill="1" applyAlignment="1" applyProtection="1">
      <alignment horizontal="center" vertical="center"/>
    </xf>
    <xf numFmtId="0" fontId="45" fillId="5" borderId="0" xfId="0" applyFont="1" applyFill="1" applyProtection="1"/>
    <xf numFmtId="44" fontId="45" fillId="5" borderId="0" xfId="0" applyNumberFormat="1" applyFont="1" applyFill="1" applyProtection="1"/>
    <xf numFmtId="7" fontId="11" fillId="5" borderId="0" xfId="2" applyNumberFormat="1" applyFont="1" applyFill="1" applyAlignment="1" applyProtection="1">
      <alignment horizontal="center" vertical="center"/>
    </xf>
    <xf numFmtId="0" fontId="43" fillId="17" borderId="0" xfId="0" applyFont="1" applyFill="1" applyBorder="1" applyProtection="1"/>
    <xf numFmtId="166" fontId="5" fillId="5" borderId="0" xfId="2" applyNumberFormat="1" applyFont="1" applyFill="1" applyAlignment="1" applyProtection="1">
      <alignment horizontal="right" vertical="center"/>
    </xf>
    <xf numFmtId="44" fontId="5" fillId="5" borderId="0" xfId="0" applyNumberFormat="1" applyFont="1" applyFill="1" applyAlignment="1" applyProtection="1">
      <alignment horizontal="right"/>
    </xf>
    <xf numFmtId="44" fontId="5" fillId="5" borderId="0" xfId="2" applyNumberFormat="1" applyFont="1" applyFill="1" applyAlignment="1" applyProtection="1">
      <alignment horizontal="right" vertical="center"/>
    </xf>
    <xf numFmtId="7" fontId="5" fillId="5" borderId="0" xfId="2" applyNumberFormat="1" applyFont="1" applyFill="1" applyAlignment="1" applyProtection="1">
      <alignment horizontal="right" vertical="center"/>
    </xf>
    <xf numFmtId="0" fontId="16" fillId="3" borderId="0" xfId="0" applyFont="1" applyFill="1" applyProtection="1"/>
    <xf numFmtId="166" fontId="16" fillId="3" borderId="0" xfId="2" applyNumberFormat="1" applyFont="1" applyFill="1" applyAlignment="1" applyProtection="1">
      <alignment horizontal="center" vertical="center"/>
    </xf>
    <xf numFmtId="44" fontId="16" fillId="3" borderId="0" xfId="0" applyNumberFormat="1" applyFont="1" applyFill="1" applyProtection="1"/>
    <xf numFmtId="44" fontId="16" fillId="3" borderId="0" xfId="2" applyNumberFormat="1" applyFont="1" applyFill="1" applyAlignment="1" applyProtection="1">
      <alignment horizontal="center" vertical="center"/>
    </xf>
    <xf numFmtId="0" fontId="17" fillId="5" borderId="0" xfId="0" applyFont="1" applyFill="1" applyBorder="1" applyAlignment="1" applyProtection="1">
      <alignment horizontal="left" wrapText="1"/>
    </xf>
    <xf numFmtId="0" fontId="17" fillId="5" borderId="8" xfId="0" applyFont="1" applyFill="1" applyBorder="1" applyAlignment="1" applyProtection="1">
      <alignment horizontal="left" wrapText="1"/>
    </xf>
    <xf numFmtId="0" fontId="18" fillId="5" borderId="0" xfId="0" applyFont="1" applyFill="1" applyAlignment="1" applyProtection="1">
      <alignment vertical="top"/>
    </xf>
    <xf numFmtId="0" fontId="0" fillId="5" borderId="0" xfId="0" applyFill="1" applyAlignment="1">
      <alignment vertical="top"/>
    </xf>
    <xf numFmtId="44" fontId="0" fillId="0" borderId="0" xfId="0" applyNumberFormat="1"/>
    <xf numFmtId="44" fontId="5" fillId="5" borderId="7" xfId="2" applyNumberFormat="1" applyFont="1" applyFill="1" applyBorder="1" applyAlignment="1" applyProtection="1">
      <alignment horizontal="center" vertical="center"/>
    </xf>
    <xf numFmtId="44" fontId="5" fillId="5" borderId="7" xfId="2" applyNumberFormat="1" applyFont="1" applyFill="1" applyBorder="1" applyAlignment="1" applyProtection="1">
      <alignment horizontal="center" vertical="center" wrapText="1"/>
    </xf>
    <xf numFmtId="0" fontId="8" fillId="5" borderId="0" xfId="0" applyFont="1" applyFill="1" applyBorder="1" applyAlignment="1" applyProtection="1">
      <alignment horizontal="left" indent="4"/>
    </xf>
    <xf numFmtId="166" fontId="8" fillId="5" borderId="0" xfId="0" applyNumberFormat="1" applyFont="1" applyFill="1" applyProtection="1"/>
    <xf numFmtId="44" fontId="8" fillId="5" borderId="0" xfId="0" applyNumberFormat="1" applyFont="1" applyFill="1" applyProtection="1"/>
    <xf numFmtId="166" fontId="5" fillId="5" borderId="0" xfId="0" applyNumberFormat="1" applyFont="1" applyFill="1" applyBorder="1" applyAlignment="1" applyProtection="1">
      <alignment horizontal="center" vertical="center"/>
    </xf>
    <xf numFmtId="0" fontId="17" fillId="5" borderId="7" xfId="0" applyFont="1" applyFill="1" applyBorder="1" applyAlignment="1" applyProtection="1">
      <alignment horizontal="left" wrapText="1"/>
    </xf>
    <xf numFmtId="0" fontId="17" fillId="5" borderId="39" xfId="0" applyFont="1" applyFill="1" applyBorder="1" applyAlignment="1" applyProtection="1">
      <alignment horizontal="left" wrapText="1"/>
    </xf>
    <xf numFmtId="166" fontId="5" fillId="5" borderId="7" xfId="2" applyNumberFormat="1" applyFont="1" applyFill="1" applyBorder="1" applyAlignment="1" applyProtection="1">
      <alignment horizontal="center" vertical="center" wrapText="1"/>
    </xf>
    <xf numFmtId="0" fontId="19" fillId="5" borderId="7" xfId="0" applyFont="1" applyFill="1" applyBorder="1" applyAlignment="1" applyProtection="1">
      <alignment horizontal="left" wrapText="1"/>
    </xf>
    <xf numFmtId="166" fontId="19" fillId="5" borderId="7" xfId="0" applyNumberFormat="1" applyFont="1" applyFill="1" applyBorder="1" applyAlignment="1" applyProtection="1">
      <alignment horizontal="left" wrapText="1"/>
    </xf>
    <xf numFmtId="44" fontId="19" fillId="5" borderId="7" xfId="2" applyNumberFormat="1" applyFont="1" applyFill="1" applyBorder="1" applyAlignment="1" applyProtection="1">
      <alignment horizontal="center" vertical="center" wrapText="1"/>
    </xf>
    <xf numFmtId="166" fontId="19" fillId="5" borderId="7" xfId="2" applyNumberFormat="1" applyFont="1" applyFill="1" applyBorder="1" applyAlignment="1" applyProtection="1">
      <alignment horizontal="right" wrapText="1"/>
    </xf>
    <xf numFmtId="10" fontId="0" fillId="14" borderId="0" xfId="3" applyNumberFormat="1" applyFont="1" applyFill="1"/>
    <xf numFmtId="44" fontId="0" fillId="13" borderId="0" xfId="0" applyNumberFormat="1" applyFill="1"/>
    <xf numFmtId="0" fontId="0" fillId="18" borderId="0" xfId="0" applyFill="1"/>
    <xf numFmtId="0" fontId="3" fillId="0" borderId="0" xfId="0" applyFont="1" applyAlignment="1">
      <alignment horizontal="right"/>
    </xf>
    <xf numFmtId="0" fontId="0" fillId="8" borderId="0" xfId="0" applyFill="1"/>
    <xf numFmtId="0" fontId="0" fillId="8" borderId="25" xfId="0" applyFill="1" applyBorder="1"/>
    <xf numFmtId="0" fontId="0" fillId="8" borderId="27" xfId="0" applyFill="1" applyBorder="1"/>
    <xf numFmtId="166" fontId="0" fillId="8" borderId="29" xfId="0" applyNumberFormat="1" applyFill="1" applyBorder="1"/>
    <xf numFmtId="166" fontId="0" fillId="8" borderId="32" xfId="0" applyNumberFormat="1" applyFill="1" applyBorder="1"/>
    <xf numFmtId="175" fontId="0" fillId="0" borderId="0" xfId="0" applyNumberFormat="1"/>
    <xf numFmtId="44" fontId="24" fillId="0" borderId="0" xfId="2" applyFont="1" applyFill="1" applyBorder="1" applyAlignment="1">
      <alignment horizontal="center"/>
    </xf>
    <xf numFmtId="0" fontId="14" fillId="0" borderId="0" xfId="0" applyFont="1"/>
    <xf numFmtId="0" fontId="1" fillId="0" borderId="0" xfId="0" applyFont="1"/>
    <xf numFmtId="0" fontId="4" fillId="8" borderId="23" xfId="0" applyFont="1" applyFill="1" applyBorder="1"/>
    <xf numFmtId="0" fontId="4" fillId="8" borderId="24" xfId="0" applyFont="1" applyFill="1" applyBorder="1"/>
    <xf numFmtId="0" fontId="4" fillId="0" borderId="34" xfId="0" applyFont="1" applyBorder="1" applyAlignment="1">
      <alignment horizontal="center"/>
    </xf>
    <xf numFmtId="0" fontId="59" fillId="0" borderId="0" xfId="0" applyFont="1" applyAlignment="1">
      <alignment horizontal="center"/>
    </xf>
    <xf numFmtId="0" fontId="59" fillId="0" borderId="0" xfId="0" applyFont="1" applyFill="1" applyAlignment="1">
      <alignment horizontal="center"/>
    </xf>
    <xf numFmtId="0" fontId="1" fillId="0" borderId="0" xfId="0" applyFont="1" applyFill="1"/>
    <xf numFmtId="0" fontId="60" fillId="0" borderId="0" xfId="0" applyFont="1" applyAlignment="1">
      <alignment horizontal="left"/>
    </xf>
    <xf numFmtId="2" fontId="24" fillId="0" borderId="0" xfId="0" applyNumberFormat="1" applyFont="1" applyFill="1" applyBorder="1" applyAlignment="1">
      <alignment horizontal="left"/>
    </xf>
    <xf numFmtId="44" fontId="0" fillId="14" borderId="0" xfId="2" applyNumberFormat="1" applyFont="1" applyFill="1"/>
    <xf numFmtId="44" fontId="0" fillId="8" borderId="0" xfId="0" applyNumberFormat="1" applyFill="1" applyBorder="1"/>
    <xf numFmtId="44" fontId="0" fillId="8" borderId="29" xfId="0" applyNumberFormat="1" applyFill="1" applyBorder="1"/>
    <xf numFmtId="44" fontId="0" fillId="8" borderId="31" xfId="0" applyNumberFormat="1" applyFill="1" applyBorder="1"/>
    <xf numFmtId="44" fontId="0" fillId="8" borderId="32" xfId="0" applyNumberFormat="1" applyFill="1" applyBorder="1"/>
    <xf numFmtId="166" fontId="0" fillId="11" borderId="0" xfId="0" applyNumberFormat="1" applyFill="1"/>
    <xf numFmtId="166" fontId="0" fillId="0" borderId="0" xfId="0" applyNumberFormat="1" applyFill="1"/>
    <xf numFmtId="44" fontId="0" fillId="0" borderId="0" xfId="0" applyNumberFormat="1" applyFill="1"/>
    <xf numFmtId="44" fontId="0" fillId="19" borderId="29" xfId="0" applyNumberFormat="1" applyFill="1" applyBorder="1"/>
    <xf numFmtId="44" fontId="0" fillId="19" borderId="0" xfId="0" applyNumberFormat="1" applyFill="1" applyBorder="1" applyAlignment="1"/>
    <xf numFmtId="0" fontId="17" fillId="5" borderId="0" xfId="0" applyFont="1" applyFill="1" applyAlignment="1">
      <alignment horizontal="justify" vertical="center" wrapText="1"/>
    </xf>
    <xf numFmtId="0" fontId="58" fillId="5" borderId="0" xfId="5" applyFont="1" applyFill="1" applyAlignment="1" applyProtection="1">
      <alignment horizontal="justify" vertical="top" wrapText="1"/>
    </xf>
    <xf numFmtId="0" fontId="5" fillId="5" borderId="0" xfId="0" applyFont="1" applyFill="1" applyAlignment="1">
      <alignment horizontal="left"/>
    </xf>
    <xf numFmtId="0" fontId="5" fillId="5" borderId="0" xfId="0" applyFont="1" applyFill="1" applyAlignment="1">
      <alignment horizontal="justify" wrapText="1"/>
    </xf>
    <xf numFmtId="0" fontId="5" fillId="5" borderId="0" xfId="0" applyFont="1" applyFill="1" applyAlignment="1">
      <alignment horizontal="justify" vertical="top" wrapText="1"/>
    </xf>
    <xf numFmtId="0" fontId="5" fillId="5" borderId="0" xfId="0" applyFont="1" applyFill="1" applyAlignment="1">
      <alignment horizontal="left" wrapText="1"/>
    </xf>
    <xf numFmtId="0" fontId="8" fillId="5" borderId="0" xfId="0" applyFont="1" applyFill="1" applyAlignment="1">
      <alignment horizontal="justify" wrapText="1"/>
    </xf>
    <xf numFmtId="0" fontId="8" fillId="5" borderId="0" xfId="0" applyFont="1" applyFill="1" applyAlignment="1">
      <alignment horizontal="left" wrapText="1"/>
    </xf>
    <xf numFmtId="0" fontId="17" fillId="5" borderId="0" xfId="0" applyFont="1" applyFill="1" applyBorder="1" applyAlignment="1" applyProtection="1">
      <alignment horizontal="left" wrapText="1"/>
    </xf>
    <xf numFmtId="0" fontId="17" fillId="5" borderId="8" xfId="0" applyFont="1" applyFill="1" applyBorder="1" applyAlignment="1" applyProtection="1">
      <alignment horizontal="left" wrapText="1"/>
    </xf>
    <xf numFmtId="0" fontId="19" fillId="5" borderId="40" xfId="0" applyFont="1" applyFill="1" applyBorder="1" applyAlignment="1" applyProtection="1">
      <alignment horizontal="left" vertical="center" wrapText="1"/>
    </xf>
    <xf numFmtId="0" fontId="11" fillId="5" borderId="0" xfId="0" applyFont="1" applyFill="1" applyBorder="1" applyAlignment="1" applyProtection="1">
      <alignment horizontal="right" wrapText="1"/>
    </xf>
    <xf numFmtId="0" fontId="11" fillId="5" borderId="8" xfId="0" applyFont="1" applyFill="1" applyBorder="1" applyAlignment="1" applyProtection="1">
      <alignment horizontal="right" wrapText="1"/>
    </xf>
    <xf numFmtId="0" fontId="8" fillId="5" borderId="2"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xf>
    <xf numFmtId="0" fontId="9" fillId="5" borderId="0" xfId="0" applyFont="1" applyFill="1" applyBorder="1" applyAlignment="1" applyProtection="1">
      <alignment horizontal="center" wrapText="1"/>
    </xf>
    <xf numFmtId="0" fontId="9" fillId="5" borderId="7" xfId="0" applyFont="1" applyFill="1" applyBorder="1" applyAlignment="1" applyProtection="1">
      <alignment horizontal="center" wrapText="1"/>
    </xf>
    <xf numFmtId="0" fontId="8" fillId="5" borderId="0" xfId="0" applyFont="1" applyFill="1" applyBorder="1" applyAlignment="1" applyProtection="1">
      <alignment horizontal="center" vertical="center"/>
    </xf>
    <xf numFmtId="0" fontId="9" fillId="5" borderId="0" xfId="0" applyFont="1" applyFill="1" applyBorder="1" applyAlignment="1" applyProtection="1">
      <alignment horizontal="center"/>
    </xf>
    <xf numFmtId="0" fontId="8" fillId="5" borderId="7" xfId="0" applyFont="1" applyFill="1" applyBorder="1" applyAlignment="1" applyProtection="1">
      <alignment horizontal="center"/>
    </xf>
    <xf numFmtId="0" fontId="9" fillId="5" borderId="7" xfId="0" applyFont="1" applyFill="1" applyBorder="1" applyAlignment="1" applyProtection="1">
      <alignment horizontal="center"/>
    </xf>
    <xf numFmtId="0" fontId="9" fillId="5" borderId="2" xfId="0" applyFont="1" applyFill="1" applyBorder="1" applyAlignment="1" applyProtection="1">
      <alignment horizontal="left"/>
    </xf>
    <xf numFmtId="0" fontId="3" fillId="5" borderId="0" xfId="0" applyFont="1" applyFill="1" applyAlignment="1" applyProtection="1">
      <alignment horizontal="left" wrapText="1"/>
    </xf>
    <xf numFmtId="0" fontId="6" fillId="5" borderId="0" xfId="0" applyFont="1" applyFill="1" applyBorder="1" applyAlignment="1" applyProtection="1">
      <alignment horizontal="left" wrapText="1"/>
    </xf>
    <xf numFmtId="0" fontId="7" fillId="5" borderId="2" xfId="0" applyFont="1" applyFill="1" applyBorder="1" applyAlignment="1" applyProtection="1">
      <alignment horizontal="center" wrapText="1"/>
    </xf>
    <xf numFmtId="0" fontId="7" fillId="5" borderId="0" xfId="0" applyFont="1" applyFill="1" applyAlignment="1" applyProtection="1">
      <alignment horizontal="center" wrapText="1"/>
    </xf>
    <xf numFmtId="0" fontId="5" fillId="2" borderId="3" xfId="0" applyNumberFormat="1" applyFont="1" applyFill="1" applyBorder="1" applyAlignment="1" applyProtection="1">
      <alignment horizontal="center"/>
      <protection locked="0"/>
    </xf>
    <xf numFmtId="0" fontId="5" fillId="2" borderId="4" xfId="0" applyNumberFormat="1" applyFont="1" applyFill="1" applyBorder="1" applyAlignment="1" applyProtection="1">
      <alignment horizontal="center"/>
      <protection locked="0"/>
    </xf>
    <xf numFmtId="0" fontId="5" fillId="2" borderId="5" xfId="0" applyNumberFormat="1"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9" fillId="5" borderId="2" xfId="0" applyFont="1" applyFill="1" applyBorder="1" applyAlignment="1" applyProtection="1">
      <alignment horizontal="center"/>
    </xf>
    <xf numFmtId="0" fontId="9" fillId="5" borderId="6" xfId="0" applyFont="1" applyFill="1" applyBorder="1" applyAlignment="1" applyProtection="1">
      <alignment horizontal="center"/>
    </xf>
    <xf numFmtId="0" fontId="9" fillId="5" borderId="2" xfId="0" applyFont="1" applyFill="1" applyBorder="1" applyAlignment="1" applyProtection="1">
      <alignment horizontal="center" wrapText="1"/>
    </xf>
    <xf numFmtId="0" fontId="9" fillId="5" borderId="6" xfId="0" applyFont="1" applyFill="1" applyBorder="1" applyAlignment="1" applyProtection="1">
      <alignment horizontal="center" wrapText="1"/>
    </xf>
    <xf numFmtId="0" fontId="50" fillId="5" borderId="0" xfId="0" applyFont="1" applyFill="1" applyAlignment="1" applyProtection="1">
      <alignment horizontal="left" vertical="center" wrapText="1"/>
    </xf>
    <xf numFmtId="0" fontId="17" fillId="5" borderId="0" xfId="0" applyFont="1" applyFill="1" applyAlignment="1" applyProtection="1">
      <alignment horizontal="justify" vertical="top" wrapText="1"/>
    </xf>
    <xf numFmtId="0" fontId="58" fillId="5" borderId="0" xfId="5" applyFont="1" applyFill="1" applyAlignment="1" applyProtection="1">
      <alignment horizontal="left" vertical="top" wrapText="1"/>
    </xf>
    <xf numFmtId="166" fontId="0" fillId="8" borderId="0" xfId="0" applyNumberFormat="1" applyFill="1" applyBorder="1" applyAlignment="1">
      <alignment horizontal="center"/>
    </xf>
    <xf numFmtId="166" fontId="0" fillId="8" borderId="29" xfId="0" applyNumberFormat="1" applyFill="1" applyBorder="1" applyAlignment="1">
      <alignment horizontal="center"/>
    </xf>
    <xf numFmtId="0" fontId="0" fillId="0" borderId="0" xfId="0" applyAlignment="1">
      <alignment horizontal="left" wrapText="1"/>
    </xf>
    <xf numFmtId="44" fontId="0" fillId="8" borderId="0" xfId="0" applyNumberFormat="1" applyFill="1" applyBorder="1" applyAlignment="1">
      <alignment horizontal="center"/>
    </xf>
    <xf numFmtId="44" fontId="0" fillId="8" borderId="29" xfId="0" applyNumberFormat="1" applyFill="1" applyBorder="1" applyAlignment="1">
      <alignment horizontal="center"/>
    </xf>
  </cellXfs>
  <cellStyles count="6">
    <cellStyle name="Lien hypertexte" xfId="5" builtinId="8"/>
    <cellStyle name="Milliers" xfId="1" builtinId="3"/>
    <cellStyle name="Monétaire" xfId="2" builtinId="4"/>
    <cellStyle name="Normal" xfId="0" builtinId="0"/>
    <cellStyle name="Pourcentage" xfId="3" builtinId="5"/>
    <cellStyle name="Pourcentage 2 6" xfId="4" xr:uid="{00000000-0005-0000-0000-000005000000}"/>
  </cellStyles>
  <dxfs count="14">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colors>
    <mruColors>
      <color rgb="FF37B94B"/>
      <color rgb="FFE8E8E8"/>
      <color rgb="FFC91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762000</xdr:colOff>
      <xdr:row>5</xdr:row>
      <xdr:rowOff>141582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1450" y="0"/>
          <a:ext cx="2895600" cy="1217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0</xdr:row>
      <xdr:rowOff>0</xdr:rowOff>
    </xdr:from>
    <xdr:to>
      <xdr:col>11</xdr:col>
      <xdr:colOff>19050</xdr:colOff>
      <xdr:row>4</xdr:row>
      <xdr:rowOff>170157</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3925" y="0"/>
          <a:ext cx="2895600" cy="12179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1123950</xdr:colOff>
      <xdr:row>0</xdr:row>
      <xdr:rowOff>0</xdr:rowOff>
    </xdr:from>
    <xdr:to>
      <xdr:col>11</xdr:col>
      <xdr:colOff>0</xdr:colOff>
      <xdr:row>2</xdr:row>
      <xdr:rowOff>683525</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0" y="0"/>
          <a:ext cx="2847975" cy="1197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2238375</xdr:colOff>
      <xdr:row>0</xdr:row>
      <xdr:rowOff>57150</xdr:rowOff>
    </xdr:from>
    <xdr:to>
      <xdr:col>3</xdr:col>
      <xdr:colOff>19050</xdr:colOff>
      <xdr:row>4</xdr:row>
      <xdr:rowOff>188225</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2450" y="57150"/>
          <a:ext cx="2847975" cy="1197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809625</xdr:colOff>
      <xdr:row>226</xdr:row>
      <xdr:rowOff>0</xdr:rowOff>
    </xdr:from>
    <xdr:ext cx="184731" cy="264560"/>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1390650" y="360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sz="1100"/>
        </a:p>
      </xdr:txBody>
    </xdr:sp>
    <xdr:clientData/>
  </xdr:oneCellAnchor>
  <xdr:oneCellAnchor>
    <xdr:from>
      <xdr:col>0</xdr:col>
      <xdr:colOff>130969</xdr:colOff>
      <xdr:row>237</xdr:row>
      <xdr:rowOff>0</xdr:rowOff>
    </xdr:from>
    <xdr:ext cx="184731" cy="264560"/>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130969" y="41905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sz="1100"/>
        </a:p>
      </xdr:txBody>
    </xdr:sp>
    <xdr:clientData/>
  </xdr:oneCellAnchor>
  <xdr:twoCellAnchor>
    <xdr:from>
      <xdr:col>1</xdr:col>
      <xdr:colOff>0</xdr:colOff>
      <xdr:row>2</xdr:row>
      <xdr:rowOff>76200</xdr:rowOff>
    </xdr:from>
    <xdr:to>
      <xdr:col>14</xdr:col>
      <xdr:colOff>9525</xdr:colOff>
      <xdr:row>2</xdr:row>
      <xdr:rowOff>549094</xdr:rowOff>
    </xdr:to>
    <xdr:sp macro="" textlink="">
      <xdr:nvSpPr>
        <xdr:cNvPr id="8" name="ZoneTexte 7">
          <a:extLst>
            <a:ext uri="{FF2B5EF4-FFF2-40B4-BE49-F238E27FC236}">
              <a16:creationId xmlns:a16="http://schemas.microsoft.com/office/drawing/2014/main" id="{00000000-0008-0000-0400-000008000000}"/>
            </a:ext>
          </a:extLst>
        </xdr:cNvPr>
        <xdr:cNvSpPr txBox="1"/>
      </xdr:nvSpPr>
      <xdr:spPr>
        <a:xfrm>
          <a:off x="171450" y="676275"/>
          <a:ext cx="7981950" cy="472894"/>
        </a:xfrm>
        <a:prstGeom prst="rect">
          <a:avLst/>
        </a:prstGeom>
        <a:solidFill>
          <a:srgbClr val="C91F0D"/>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Coût de production 2017 détaillé</a:t>
          </a:r>
        </a:p>
      </xdr:txBody>
    </xdr:sp>
    <xdr:clientData/>
  </xdr:twoCellAnchor>
  <xdr:twoCellAnchor>
    <xdr:from>
      <xdr:col>15</xdr:col>
      <xdr:colOff>1</xdr:colOff>
      <xdr:row>2</xdr:row>
      <xdr:rowOff>66675</xdr:rowOff>
    </xdr:from>
    <xdr:to>
      <xdr:col>20</xdr:col>
      <xdr:colOff>1</xdr:colOff>
      <xdr:row>2</xdr:row>
      <xdr:rowOff>539569</xdr:rowOff>
    </xdr:to>
    <xdr:sp macro="" textlink="">
      <xdr:nvSpPr>
        <xdr:cNvPr id="9" name="ZoneTexte 8">
          <a:extLst>
            <a:ext uri="{FF2B5EF4-FFF2-40B4-BE49-F238E27FC236}">
              <a16:creationId xmlns:a16="http://schemas.microsoft.com/office/drawing/2014/main" id="{00000000-0008-0000-0400-000009000000}"/>
            </a:ext>
          </a:extLst>
        </xdr:cNvPr>
        <xdr:cNvSpPr txBox="1"/>
      </xdr:nvSpPr>
      <xdr:spPr>
        <a:xfrm>
          <a:off x="8267701" y="266700"/>
          <a:ext cx="4191000" cy="472894"/>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2018 détaillé</a:t>
          </a:r>
        </a:p>
      </xdr:txBody>
    </xdr:sp>
    <xdr:clientData/>
  </xdr:twoCellAnchor>
  <xdr:twoCellAnchor>
    <xdr:from>
      <xdr:col>21</xdr:col>
      <xdr:colOff>9525</xdr:colOff>
      <xdr:row>2</xdr:row>
      <xdr:rowOff>66675</xdr:rowOff>
    </xdr:from>
    <xdr:to>
      <xdr:col>26</xdr:col>
      <xdr:colOff>0</xdr:colOff>
      <xdr:row>2</xdr:row>
      <xdr:rowOff>539569</xdr:rowOff>
    </xdr:to>
    <xdr:sp macro="" textlink="">
      <xdr:nvSpPr>
        <xdr:cNvPr id="10" name="ZoneTexte 9">
          <a:extLst>
            <a:ext uri="{FF2B5EF4-FFF2-40B4-BE49-F238E27FC236}">
              <a16:creationId xmlns:a16="http://schemas.microsoft.com/office/drawing/2014/main" id="{00000000-0008-0000-0400-00000A000000}"/>
            </a:ext>
          </a:extLst>
        </xdr:cNvPr>
        <xdr:cNvSpPr txBox="1"/>
      </xdr:nvSpPr>
      <xdr:spPr>
        <a:xfrm>
          <a:off x="12592050" y="266700"/>
          <a:ext cx="4181475" cy="472894"/>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2019 détaillé</a:t>
          </a:r>
        </a:p>
      </xdr:txBody>
    </xdr:sp>
    <xdr:clientData/>
  </xdr:twoCellAnchor>
  <xdr:twoCellAnchor>
    <xdr:from>
      <xdr:col>27</xdr:col>
      <xdr:colOff>10584</xdr:colOff>
      <xdr:row>2</xdr:row>
      <xdr:rowOff>76200</xdr:rowOff>
    </xdr:from>
    <xdr:to>
      <xdr:col>34</xdr:col>
      <xdr:colOff>0</xdr:colOff>
      <xdr:row>2</xdr:row>
      <xdr:rowOff>549094</xdr:rowOff>
    </xdr:to>
    <xdr:sp macro="" textlink="">
      <xdr:nvSpPr>
        <xdr:cNvPr id="11" name="ZoneTexte 10">
          <a:extLst>
            <a:ext uri="{FF2B5EF4-FFF2-40B4-BE49-F238E27FC236}">
              <a16:creationId xmlns:a16="http://schemas.microsoft.com/office/drawing/2014/main" id="{00000000-0008-0000-0400-00000B000000}"/>
            </a:ext>
          </a:extLst>
        </xdr:cNvPr>
        <xdr:cNvSpPr txBox="1"/>
      </xdr:nvSpPr>
      <xdr:spPr>
        <a:xfrm>
          <a:off x="20468167" y="795867"/>
          <a:ext cx="5842000" cy="472894"/>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2020 détaillé</a:t>
          </a:r>
        </a:p>
      </xdr:txBody>
    </xdr:sp>
    <xdr:clientData/>
  </xdr:twoCellAnchor>
  <xdr:twoCellAnchor>
    <xdr:from>
      <xdr:col>35</xdr:col>
      <xdr:colOff>9525</xdr:colOff>
      <xdr:row>2</xdr:row>
      <xdr:rowOff>57150</xdr:rowOff>
    </xdr:from>
    <xdr:to>
      <xdr:col>40</xdr:col>
      <xdr:colOff>0</xdr:colOff>
      <xdr:row>2</xdr:row>
      <xdr:rowOff>530044</xdr:rowOff>
    </xdr:to>
    <xdr:sp macro="" textlink="">
      <xdr:nvSpPr>
        <xdr:cNvPr id="12" name="ZoneTexte 11">
          <a:extLst>
            <a:ext uri="{FF2B5EF4-FFF2-40B4-BE49-F238E27FC236}">
              <a16:creationId xmlns:a16="http://schemas.microsoft.com/office/drawing/2014/main" id="{00000000-0008-0000-0400-00000C000000}"/>
            </a:ext>
          </a:extLst>
        </xdr:cNvPr>
        <xdr:cNvSpPr txBox="1"/>
      </xdr:nvSpPr>
      <xdr:spPr>
        <a:xfrm>
          <a:off x="21221700" y="257175"/>
          <a:ext cx="4181475" cy="472894"/>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2021 détaillé</a:t>
          </a:r>
        </a:p>
      </xdr:txBody>
    </xdr:sp>
    <xdr:clientData/>
  </xdr:twoCellAnchor>
  <xdr:twoCellAnchor>
    <xdr:from>
      <xdr:col>41</xdr:col>
      <xdr:colOff>9525</xdr:colOff>
      <xdr:row>2</xdr:row>
      <xdr:rowOff>76200</xdr:rowOff>
    </xdr:from>
    <xdr:to>
      <xdr:col>46</xdr:col>
      <xdr:colOff>0</xdr:colOff>
      <xdr:row>2</xdr:row>
      <xdr:rowOff>549094</xdr:rowOff>
    </xdr:to>
    <xdr:sp macro="" textlink="">
      <xdr:nvSpPr>
        <xdr:cNvPr id="13" name="ZoneTexte 12">
          <a:extLst>
            <a:ext uri="{FF2B5EF4-FFF2-40B4-BE49-F238E27FC236}">
              <a16:creationId xmlns:a16="http://schemas.microsoft.com/office/drawing/2014/main" id="{00000000-0008-0000-0400-00000D000000}"/>
            </a:ext>
          </a:extLst>
        </xdr:cNvPr>
        <xdr:cNvSpPr txBox="1"/>
      </xdr:nvSpPr>
      <xdr:spPr>
        <a:xfrm>
          <a:off x="25536525" y="276225"/>
          <a:ext cx="4181475" cy="472894"/>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2022 détaillé</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cecpa.qc.ca/?rub=2&amp;typeProduction=2&amp;typeRapport=&amp;datePublication=&amp;utm_source=exc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cecpa.qc.ca/?rub=2&amp;typeProduction=2&amp;typeRapport=&amp;datePublication=&amp;utm_source=excel"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J35"/>
  <sheetViews>
    <sheetView topLeftCell="A4" workbookViewId="0">
      <selection activeCell="E5" sqref="E5"/>
    </sheetView>
  </sheetViews>
  <sheetFormatPr baseColWidth="10" defaultRowHeight="16.5"/>
  <cols>
    <col min="1" max="1" width="3.25" style="203" customWidth="1"/>
    <col min="2" max="9" width="11" style="203"/>
    <col min="10" max="10" width="2" style="203" customWidth="1"/>
    <col min="11" max="16384" width="11" style="206"/>
  </cols>
  <sheetData>
    <row r="2" spans="2:9" ht="18.75">
      <c r="B2" s="204" t="s">
        <v>91</v>
      </c>
      <c r="C2" s="205"/>
      <c r="D2" s="205"/>
      <c r="E2" s="205"/>
      <c r="F2" s="205"/>
      <c r="G2" s="205"/>
      <c r="H2" s="205"/>
      <c r="I2" s="205"/>
    </row>
    <row r="3" spans="2:9">
      <c r="B3" s="205"/>
      <c r="C3" s="205"/>
      <c r="D3" s="205"/>
      <c r="E3" s="205"/>
      <c r="F3" s="205"/>
      <c r="G3" s="205"/>
      <c r="H3" s="205"/>
      <c r="I3" s="205"/>
    </row>
    <row r="4" spans="2:9">
      <c r="B4" s="205"/>
      <c r="C4" s="205"/>
      <c r="D4" s="205"/>
      <c r="E4" s="205"/>
      <c r="F4" s="205"/>
      <c r="G4" s="205"/>
      <c r="H4" s="205"/>
      <c r="I4" s="205"/>
    </row>
    <row r="5" spans="2:9">
      <c r="C5" s="207"/>
      <c r="D5" s="207"/>
      <c r="E5" s="207"/>
      <c r="F5" s="207"/>
      <c r="G5" s="207"/>
      <c r="H5" s="207"/>
      <c r="I5" s="205"/>
    </row>
    <row r="6" spans="2:9">
      <c r="C6" s="207"/>
      <c r="D6" s="207"/>
      <c r="E6" s="207"/>
      <c r="F6" s="207"/>
      <c r="G6" s="207"/>
      <c r="H6" s="207"/>
      <c r="I6" s="205"/>
    </row>
    <row r="7" spans="2:9">
      <c r="B7" s="207" t="s">
        <v>92</v>
      </c>
    </row>
    <row r="8" spans="2:9" ht="33" customHeight="1">
      <c r="B8" s="627" t="s">
        <v>174</v>
      </c>
      <c r="C8" s="627"/>
      <c r="D8" s="627"/>
      <c r="E8" s="627"/>
      <c r="F8" s="627"/>
      <c r="G8" s="627"/>
      <c r="H8" s="627"/>
      <c r="I8" s="627"/>
    </row>
    <row r="9" spans="2:9">
      <c r="B9" s="391"/>
      <c r="C9" s="391"/>
      <c r="D9" s="391"/>
      <c r="E9" s="391"/>
      <c r="F9" s="391"/>
      <c r="G9" s="391"/>
      <c r="H9" s="391"/>
      <c r="I9" s="391"/>
    </row>
    <row r="10" spans="2:9">
      <c r="B10" s="208" t="s">
        <v>93</v>
      </c>
      <c r="C10" s="392"/>
      <c r="D10" s="392"/>
      <c r="E10" s="392"/>
      <c r="F10" s="392"/>
      <c r="G10" s="392"/>
      <c r="H10" s="392"/>
      <c r="I10" s="392"/>
    </row>
    <row r="11" spans="2:9">
      <c r="B11" s="208"/>
      <c r="C11" s="392"/>
      <c r="D11" s="392"/>
      <c r="E11" s="392"/>
      <c r="F11" s="392"/>
      <c r="G11" s="392"/>
      <c r="H11" s="392"/>
      <c r="I11" s="392"/>
    </row>
    <row r="12" spans="2:9" ht="48" customHeight="1">
      <c r="B12" s="628" t="s">
        <v>181</v>
      </c>
      <c r="C12" s="628"/>
      <c r="D12" s="628"/>
      <c r="E12" s="628"/>
      <c r="F12" s="628"/>
      <c r="G12" s="628"/>
      <c r="H12" s="628"/>
      <c r="I12" s="628"/>
    </row>
    <row r="13" spans="2:9">
      <c r="B13" s="392"/>
      <c r="C13" s="392"/>
      <c r="D13" s="392"/>
      <c r="E13" s="392"/>
      <c r="F13" s="392"/>
      <c r="G13" s="392"/>
      <c r="H13" s="392"/>
      <c r="I13" s="392"/>
    </row>
    <row r="14" spans="2:9" ht="30" customHeight="1">
      <c r="B14" s="627" t="s">
        <v>94</v>
      </c>
      <c r="C14" s="627"/>
      <c r="D14" s="627"/>
      <c r="E14" s="627"/>
      <c r="F14" s="627"/>
      <c r="G14" s="627"/>
      <c r="H14" s="627"/>
      <c r="I14" s="627"/>
    </row>
    <row r="15" spans="2:9">
      <c r="B15" s="205"/>
      <c r="C15" s="205"/>
      <c r="D15" s="205"/>
      <c r="E15" s="205"/>
      <c r="F15" s="205"/>
      <c r="G15" s="205"/>
      <c r="H15" s="205"/>
      <c r="I15" s="205"/>
    </row>
    <row r="16" spans="2:9">
      <c r="B16" s="629" t="s">
        <v>95</v>
      </c>
      <c r="C16" s="629"/>
      <c r="D16" s="629"/>
      <c r="E16" s="629"/>
      <c r="F16" s="629"/>
      <c r="G16" s="629"/>
      <c r="H16" s="629"/>
      <c r="I16" s="629"/>
    </row>
    <row r="17" spans="1:10">
      <c r="B17" s="629"/>
      <c r="C17" s="629"/>
      <c r="D17" s="629"/>
      <c r="E17" s="629"/>
      <c r="F17" s="629"/>
      <c r="G17" s="629"/>
      <c r="H17" s="629"/>
      <c r="I17" s="629"/>
    </row>
    <row r="18" spans="1:10">
      <c r="B18" s="205"/>
      <c r="C18" s="205"/>
      <c r="D18" s="205"/>
      <c r="E18" s="205"/>
      <c r="F18" s="205"/>
      <c r="G18" s="205"/>
      <c r="H18" s="205"/>
      <c r="I18" s="205"/>
    </row>
    <row r="19" spans="1:10">
      <c r="B19" s="208" t="s">
        <v>96</v>
      </c>
      <c r="C19" s="209"/>
      <c r="D19" s="209"/>
      <c r="E19" s="209"/>
      <c r="F19" s="209"/>
      <c r="G19" s="209"/>
      <c r="H19" s="209"/>
      <c r="I19" s="209"/>
    </row>
    <row r="20" spans="1:10">
      <c r="B20" s="210"/>
      <c r="C20" s="211"/>
      <c r="D20" s="211"/>
      <c r="E20" s="211"/>
      <c r="F20" s="211"/>
      <c r="G20" s="211"/>
      <c r="H20" s="211"/>
      <c r="I20" s="211"/>
    </row>
    <row r="21" spans="1:10" ht="57" customHeight="1">
      <c r="B21" s="631" t="s">
        <v>362</v>
      </c>
      <c r="C21" s="631"/>
      <c r="D21" s="631"/>
      <c r="E21" s="631"/>
      <c r="F21" s="631"/>
      <c r="G21" s="631"/>
      <c r="H21" s="631"/>
      <c r="I21" s="631"/>
    </row>
    <row r="22" spans="1:10" ht="69" customHeight="1">
      <c r="B22" s="631" t="s">
        <v>361</v>
      </c>
      <c r="C22" s="631"/>
      <c r="D22" s="631"/>
      <c r="E22" s="631"/>
      <c r="F22" s="631"/>
      <c r="G22" s="631"/>
      <c r="H22" s="631"/>
      <c r="I22" s="631"/>
    </row>
    <row r="23" spans="1:10">
      <c r="B23" s="393"/>
      <c r="C23" s="393"/>
      <c r="D23" s="393"/>
      <c r="E23" s="393"/>
      <c r="F23" s="393"/>
      <c r="G23" s="393"/>
      <c r="H23" s="393"/>
      <c r="I23" s="393"/>
    </row>
    <row r="24" spans="1:10">
      <c r="B24" s="630" t="s">
        <v>97</v>
      </c>
      <c r="C24" s="630"/>
      <c r="D24" s="630"/>
      <c r="E24" s="630"/>
      <c r="F24" s="630"/>
      <c r="G24" s="630"/>
      <c r="H24" s="630"/>
      <c r="I24" s="630"/>
    </row>
    <row r="25" spans="1:10">
      <c r="B25" s="630"/>
      <c r="C25" s="630"/>
      <c r="D25" s="630"/>
      <c r="E25" s="630"/>
      <c r="F25" s="630"/>
      <c r="G25" s="630"/>
      <c r="H25" s="630"/>
      <c r="I25" s="630"/>
    </row>
    <row r="26" spans="1:10">
      <c r="B26" s="393"/>
      <c r="C26" s="393"/>
      <c r="D26" s="393"/>
      <c r="E26" s="393"/>
      <c r="F26" s="393"/>
      <c r="G26" s="393"/>
      <c r="H26" s="393"/>
      <c r="I26" s="393"/>
    </row>
    <row r="27" spans="1:10">
      <c r="B27" s="393" t="s">
        <v>98</v>
      </c>
      <c r="C27" s="393"/>
      <c r="D27" s="393"/>
      <c r="E27" s="393"/>
      <c r="F27" s="393"/>
      <c r="G27" s="393"/>
      <c r="H27" s="393"/>
      <c r="I27" s="393"/>
    </row>
    <row r="28" spans="1:10">
      <c r="B28" s="393"/>
      <c r="C28" s="393"/>
      <c r="D28" s="393"/>
      <c r="E28" s="393"/>
      <c r="F28" s="393"/>
      <c r="G28" s="393"/>
      <c r="H28" s="393"/>
      <c r="I28" s="393"/>
    </row>
    <row r="29" spans="1:10" ht="48.75" customHeight="1">
      <c r="B29" s="624" t="s">
        <v>101</v>
      </c>
      <c r="C29" s="624"/>
      <c r="D29" s="624"/>
      <c r="E29" s="624"/>
      <c r="F29" s="624"/>
      <c r="G29" s="624"/>
      <c r="H29" s="624"/>
      <c r="I29" s="624"/>
    </row>
    <row r="30" spans="1:10">
      <c r="B30" s="212"/>
      <c r="C30" s="393"/>
      <c r="D30" s="393"/>
      <c r="E30" s="393"/>
      <c r="F30" s="393"/>
      <c r="G30" s="393"/>
      <c r="H30" s="393"/>
      <c r="I30" s="393"/>
    </row>
    <row r="31" spans="1:10" ht="34.5" customHeight="1">
      <c r="A31" s="213"/>
      <c r="B31" s="625" t="s">
        <v>175</v>
      </c>
      <c r="C31" s="625"/>
      <c r="D31" s="625"/>
      <c r="E31" s="625"/>
      <c r="F31" s="625"/>
      <c r="G31" s="625"/>
      <c r="H31" s="625"/>
      <c r="I31" s="625"/>
      <c r="J31" s="213"/>
    </row>
    <row r="32" spans="1:10">
      <c r="B32" s="214"/>
      <c r="C32" s="215"/>
      <c r="D32" s="215"/>
      <c r="E32" s="215"/>
      <c r="F32" s="215"/>
      <c r="G32" s="215"/>
      <c r="H32" s="215"/>
      <c r="I32" s="215"/>
    </row>
    <row r="33" spans="2:9">
      <c r="B33" s="626" t="s">
        <v>99</v>
      </c>
      <c r="C33" s="626"/>
      <c r="D33" s="626"/>
      <c r="E33" s="626"/>
      <c r="F33" s="626"/>
      <c r="G33" s="626"/>
      <c r="H33" s="626"/>
      <c r="I33" s="626"/>
    </row>
    <row r="34" spans="2:9">
      <c r="B34" s="215"/>
      <c r="C34" s="215"/>
      <c r="D34" s="215"/>
      <c r="E34" s="215"/>
      <c r="F34" s="215"/>
      <c r="G34" s="215"/>
      <c r="H34" s="215"/>
      <c r="I34" s="215"/>
    </row>
    <row r="35" spans="2:9">
      <c r="B35" s="626" t="s">
        <v>100</v>
      </c>
      <c r="C35" s="626"/>
      <c r="D35" s="626"/>
      <c r="E35" s="215"/>
      <c r="F35" s="215"/>
      <c r="G35" s="215"/>
      <c r="H35" s="215"/>
      <c r="I35" s="215"/>
    </row>
  </sheetData>
  <sheetProtection selectLockedCells="1" selectUnlockedCells="1"/>
  <mergeCells count="11">
    <mergeCell ref="B29:I29"/>
    <mergeCell ref="B31:I31"/>
    <mergeCell ref="B33:I33"/>
    <mergeCell ref="B35:D35"/>
    <mergeCell ref="B8:I8"/>
    <mergeCell ref="B12:I12"/>
    <mergeCell ref="B14:I14"/>
    <mergeCell ref="B16:I17"/>
    <mergeCell ref="B24:I25"/>
    <mergeCell ref="B21:I21"/>
    <mergeCell ref="B22:I22"/>
  </mergeCells>
  <hyperlinks>
    <hyperlink ref="B31:I31" r:id="rId1" location="liste" display="Consultez le rapport de notre étude sur le coût de production pour en connaître les méthodologies et obtenir plus d'information sur les résultats."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M244"/>
  <sheetViews>
    <sheetView workbookViewId="0">
      <selection activeCell="C8" sqref="C8"/>
    </sheetView>
  </sheetViews>
  <sheetFormatPr baseColWidth="10" defaultRowHeight="14.25" outlineLevelRow="2"/>
  <cols>
    <col min="1" max="1" width="1.625" style="436" customWidth="1"/>
    <col min="2" max="3" width="22.625" style="436" customWidth="1"/>
    <col min="4" max="4" width="1.625" style="436" customWidth="1"/>
    <col min="5" max="5" width="11.875" style="436" bestFit="1" customWidth="1"/>
    <col min="6" max="6" width="1.625" style="436" customWidth="1"/>
    <col min="7" max="7" width="12.375" style="436" bestFit="1" customWidth="1"/>
    <col min="8" max="8" width="1.625" style="436" customWidth="1"/>
    <col min="9" max="9" width="11.125" style="436" bestFit="1" customWidth="1"/>
    <col min="10" max="10" width="1.625" style="436" customWidth="1"/>
    <col min="11" max="11" width="11.125" style="436" bestFit="1" customWidth="1"/>
    <col min="12" max="12" width="1.625" style="436" customWidth="1"/>
    <col min="13" max="13" width="11" style="436"/>
    <col min="14" max="14" width="1.625" style="436" customWidth="1"/>
    <col min="15" max="16384" width="11" style="436"/>
  </cols>
  <sheetData>
    <row r="1" spans="2:13" ht="16.5">
      <c r="B1" s="227" t="s">
        <v>102</v>
      </c>
      <c r="C1" s="227"/>
      <c r="D1" s="434"/>
      <c r="E1" s="434"/>
      <c r="F1" s="434"/>
      <c r="G1" s="434"/>
      <c r="H1" s="434"/>
      <c r="I1" s="434"/>
      <c r="J1" s="435"/>
      <c r="K1" s="434"/>
      <c r="L1" s="435"/>
      <c r="M1" s="434"/>
    </row>
    <row r="2" spans="2:13" ht="16.5">
      <c r="B2" s="437"/>
      <c r="C2" s="437"/>
      <c r="D2" s="434"/>
      <c r="E2" s="434"/>
      <c r="F2" s="434"/>
      <c r="G2" s="434"/>
      <c r="H2" s="434"/>
      <c r="I2" s="434"/>
      <c r="J2" s="435"/>
      <c r="K2" s="434"/>
      <c r="L2" s="435"/>
      <c r="M2" s="434"/>
    </row>
    <row r="3" spans="2:13" ht="34.5">
      <c r="B3" s="438" t="s">
        <v>176</v>
      </c>
      <c r="C3" s="438"/>
      <c r="D3" s="226"/>
      <c r="E3" s="227"/>
      <c r="F3" s="226"/>
      <c r="G3" s="227"/>
      <c r="H3" s="227"/>
      <c r="I3" s="227"/>
      <c r="J3" s="230"/>
      <c r="K3" s="227"/>
      <c r="L3" s="230"/>
      <c r="M3" s="227"/>
    </row>
    <row r="4" spans="2:13" ht="15">
      <c r="B4" s="230"/>
      <c r="C4" s="230"/>
      <c r="D4" s="230"/>
      <c r="E4" s="230"/>
      <c r="F4" s="230"/>
      <c r="G4" s="230"/>
      <c r="H4" s="230"/>
      <c r="I4" s="230"/>
      <c r="J4" s="230"/>
      <c r="K4" s="230"/>
      <c r="L4" s="230"/>
      <c r="M4" s="230"/>
    </row>
    <row r="5" spans="2:13" ht="15">
      <c r="B5" s="249"/>
      <c r="C5" s="249"/>
      <c r="D5" s="233"/>
      <c r="E5" s="233"/>
      <c r="F5" s="233"/>
      <c r="G5" s="233"/>
      <c r="H5" s="233"/>
      <c r="I5" s="233"/>
      <c r="J5" s="249"/>
      <c r="K5" s="249"/>
      <c r="L5" s="249"/>
    </row>
    <row r="6" spans="2:13" ht="15">
      <c r="B6" s="232"/>
      <c r="C6" s="232"/>
      <c r="D6" s="230"/>
      <c r="E6" s="230"/>
      <c r="F6" s="230"/>
      <c r="G6" s="230"/>
      <c r="H6" s="230"/>
      <c r="I6" s="230"/>
      <c r="J6" s="230"/>
      <c r="K6" s="230"/>
      <c r="L6" s="230"/>
    </row>
    <row r="7" spans="2:13" ht="15" customHeight="1">
      <c r="B7" s="439"/>
      <c r="C7" s="439"/>
      <c r="D7" s="230"/>
    </row>
    <row r="8" spans="2:13">
      <c r="B8" s="440" t="s">
        <v>103</v>
      </c>
      <c r="C8" s="441"/>
      <c r="D8" s="442"/>
    </row>
    <row r="9" spans="2:13" ht="15">
      <c r="B9" s="230"/>
      <c r="C9" s="254"/>
      <c r="D9" s="230"/>
      <c r="E9" s="639" t="s">
        <v>177</v>
      </c>
      <c r="F9" s="639"/>
      <c r="G9" s="639"/>
      <c r="H9" s="639"/>
      <c r="I9" s="639"/>
      <c r="J9" s="639"/>
      <c r="K9" s="639"/>
      <c r="L9" s="253"/>
      <c r="M9" s="253"/>
    </row>
    <row r="10" spans="2:13" ht="15">
      <c r="B10" s="394"/>
      <c r="C10" s="443" t="s">
        <v>87</v>
      </c>
      <c r="D10" s="394"/>
      <c r="E10" s="444" t="s">
        <v>6</v>
      </c>
      <c r="F10" s="445"/>
      <c r="G10" s="444" t="s">
        <v>324</v>
      </c>
      <c r="H10" s="444"/>
      <c r="I10" s="444" t="s">
        <v>299</v>
      </c>
      <c r="J10" s="444"/>
      <c r="K10" s="444" t="s">
        <v>300</v>
      </c>
      <c r="L10" s="444"/>
    </row>
    <row r="11" spans="2:13" ht="5.0999999999999996" customHeight="1">
      <c r="B11" s="394"/>
      <c r="C11" s="394"/>
      <c r="D11" s="394"/>
      <c r="E11" s="446"/>
      <c r="F11" s="447"/>
      <c r="G11" s="448"/>
      <c r="H11" s="448"/>
      <c r="I11" s="244"/>
      <c r="J11" s="231"/>
      <c r="K11" s="244"/>
      <c r="L11" s="231"/>
    </row>
    <row r="12" spans="2:13" ht="15">
      <c r="B12" s="230" t="s">
        <v>331</v>
      </c>
      <c r="C12" s="449" t="s">
        <v>330</v>
      </c>
      <c r="D12" s="230"/>
      <c r="E12" s="446">
        <v>364</v>
      </c>
      <c r="F12" s="231"/>
      <c r="G12" s="243"/>
      <c r="H12" s="231"/>
      <c r="I12" s="446"/>
      <c r="J12" s="231"/>
      <c r="L12" s="231"/>
    </row>
    <row r="13" spans="2:13" ht="15">
      <c r="B13" s="227" t="s">
        <v>183</v>
      </c>
      <c r="C13" s="450" t="s">
        <v>330</v>
      </c>
      <c r="D13" s="230"/>
      <c r="E13" s="446">
        <v>7441.3</v>
      </c>
      <c r="F13" s="231"/>
      <c r="G13" s="243">
        <f>E13/E12</f>
        <v>20.443131868131868</v>
      </c>
      <c r="H13" s="231"/>
      <c r="I13" s="446"/>
      <c r="J13" s="231"/>
      <c r="L13" s="231"/>
    </row>
    <row r="14" spans="2:13" ht="15">
      <c r="B14" s="227" t="s">
        <v>184</v>
      </c>
      <c r="C14" s="449" t="s">
        <v>187</v>
      </c>
      <c r="D14" s="230"/>
      <c r="E14" s="446">
        <v>776082</v>
      </c>
      <c r="F14" s="231"/>
      <c r="G14" s="243"/>
      <c r="H14" s="231"/>
      <c r="I14" s="243">
        <f>E14/E13</f>
        <v>104.2938733823391</v>
      </c>
      <c r="J14" s="231"/>
      <c r="K14" s="446"/>
      <c r="L14" s="231"/>
      <c r="M14" s="451"/>
    </row>
    <row r="15" spans="2:13" ht="15">
      <c r="B15" s="227"/>
      <c r="C15" s="227"/>
      <c r="D15" s="230"/>
      <c r="E15" s="446"/>
      <c r="F15" s="231"/>
      <c r="G15" s="243"/>
      <c r="H15" s="231"/>
      <c r="I15" s="446"/>
      <c r="J15" s="231"/>
      <c r="K15" s="446"/>
      <c r="L15" s="231"/>
    </row>
    <row r="16" spans="2:13" ht="15">
      <c r="B16" s="227"/>
      <c r="C16" s="227"/>
      <c r="D16" s="230"/>
      <c r="E16" s="446"/>
      <c r="F16" s="231"/>
      <c r="G16" s="452"/>
      <c r="H16" s="231"/>
      <c r="I16" s="243"/>
      <c r="J16" s="231"/>
      <c r="K16" s="446"/>
      <c r="L16" s="231"/>
    </row>
    <row r="17" spans="2:12" ht="15">
      <c r="B17" s="227"/>
      <c r="C17" s="443" t="s">
        <v>87</v>
      </c>
      <c r="D17" s="230"/>
      <c r="E17" s="444" t="s">
        <v>6</v>
      </c>
      <c r="F17" s="445"/>
      <c r="G17" s="444" t="s">
        <v>332</v>
      </c>
      <c r="H17" s="444"/>
      <c r="I17" s="444" t="s">
        <v>333</v>
      </c>
      <c r="J17" s="444"/>
      <c r="K17" s="453" t="s">
        <v>334</v>
      </c>
      <c r="L17" s="444"/>
    </row>
    <row r="18" spans="2:12" ht="5.0999999999999996" customHeight="1">
      <c r="B18" s="394"/>
      <c r="C18" s="394"/>
      <c r="D18" s="394"/>
      <c r="E18" s="446"/>
      <c r="F18" s="447"/>
      <c r="G18" s="448"/>
      <c r="H18" s="448"/>
      <c r="I18" s="448"/>
      <c r="J18" s="231"/>
      <c r="K18" s="244"/>
      <c r="L18" s="231"/>
    </row>
    <row r="19" spans="2:12" s="457" customFormat="1" ht="15" customHeight="1">
      <c r="B19" s="442" t="s">
        <v>335</v>
      </c>
      <c r="C19" s="449" t="s">
        <v>85</v>
      </c>
      <c r="D19" s="442"/>
      <c r="E19" s="454"/>
      <c r="F19" s="368"/>
      <c r="G19" s="455">
        <v>0.13800000000000001</v>
      </c>
      <c r="H19" s="456"/>
      <c r="I19" s="455">
        <v>3.6999999999999998E-2</v>
      </c>
      <c r="J19" s="442"/>
      <c r="K19" s="455">
        <v>4.2000000000000003E-2</v>
      </c>
      <c r="L19" s="442"/>
    </row>
    <row r="20" spans="2:12" s="457" customFormat="1" ht="15" customHeight="1">
      <c r="B20" s="458" t="s">
        <v>336</v>
      </c>
      <c r="C20" s="450" t="s">
        <v>338</v>
      </c>
      <c r="D20" s="442"/>
      <c r="E20" s="459"/>
      <c r="F20" s="368"/>
      <c r="G20" s="460"/>
      <c r="H20" s="368"/>
      <c r="I20" s="461">
        <v>420</v>
      </c>
      <c r="J20" s="368"/>
      <c r="K20" s="462">
        <v>861</v>
      </c>
      <c r="L20" s="368"/>
    </row>
    <row r="21" spans="2:12" s="457" customFormat="1" ht="15" customHeight="1">
      <c r="B21" s="442" t="s">
        <v>337</v>
      </c>
      <c r="C21" s="449"/>
      <c r="D21" s="442"/>
      <c r="E21" s="463"/>
      <c r="F21" s="368"/>
      <c r="G21" s="464"/>
      <c r="H21" s="465"/>
      <c r="I21" s="460">
        <v>1.69</v>
      </c>
      <c r="J21" s="368"/>
      <c r="K21" s="466">
        <v>2.72</v>
      </c>
      <c r="L21" s="368"/>
    </row>
    <row r="22" spans="2:12" s="457" customFormat="1" ht="15" customHeight="1">
      <c r="B22" s="442" t="s">
        <v>323</v>
      </c>
      <c r="C22" s="449" t="s">
        <v>85</v>
      </c>
      <c r="D22" s="442"/>
      <c r="E22" s="467"/>
      <c r="F22" s="368"/>
      <c r="G22" s="468"/>
      <c r="H22" s="368"/>
      <c r="I22" s="418">
        <v>0.107</v>
      </c>
      <c r="J22" s="368"/>
      <c r="K22" s="469">
        <v>0.161</v>
      </c>
      <c r="L22" s="368"/>
    </row>
    <row r="23" spans="2:12" s="457" customFormat="1" ht="15" customHeight="1">
      <c r="B23" s="442" t="s">
        <v>339</v>
      </c>
      <c r="C23" s="449" t="s">
        <v>85</v>
      </c>
      <c r="D23" s="442"/>
      <c r="E23" s="467">
        <v>0.52700000000000002</v>
      </c>
      <c r="F23" s="368"/>
      <c r="G23" s="468"/>
      <c r="H23" s="368"/>
      <c r="I23" s="418"/>
      <c r="J23" s="368"/>
      <c r="K23" s="469"/>
      <c r="L23" s="368"/>
    </row>
    <row r="24" spans="2:12" s="457" customFormat="1" ht="15" customHeight="1">
      <c r="B24" s="442"/>
      <c r="C24" s="449"/>
      <c r="D24" s="442"/>
      <c r="E24" s="467"/>
      <c r="F24" s="368"/>
      <c r="G24" s="468"/>
      <c r="H24" s="368"/>
      <c r="I24" s="470"/>
      <c r="J24" s="368"/>
      <c r="K24" s="368"/>
      <c r="L24" s="368"/>
    </row>
    <row r="25" spans="2:12" ht="15">
      <c r="B25" s="230"/>
      <c r="C25" s="254"/>
      <c r="D25" s="230"/>
      <c r="E25" s="444" t="s">
        <v>6</v>
      </c>
      <c r="F25" s="445"/>
      <c r="G25" s="444" t="s">
        <v>324</v>
      </c>
      <c r="H25" s="444"/>
      <c r="I25" s="444" t="s">
        <v>299</v>
      </c>
      <c r="J25" s="444"/>
      <c r="K25" s="444" t="s">
        <v>300</v>
      </c>
      <c r="L25" s="444"/>
    </row>
    <row r="26" spans="2:12" ht="15" hidden="1" outlineLevel="1">
      <c r="B26" s="227"/>
      <c r="C26" s="471" t="s">
        <v>7</v>
      </c>
      <c r="D26" s="472"/>
      <c r="E26" s="473">
        <v>4104</v>
      </c>
      <c r="F26" s="474"/>
      <c r="G26" s="475">
        <v>11.28</v>
      </c>
      <c r="H26" s="476"/>
      <c r="I26" s="477">
        <v>0.55000000000000004</v>
      </c>
      <c r="J26" s="231"/>
      <c r="K26" s="259">
        <v>0.53</v>
      </c>
      <c r="L26" s="231"/>
    </row>
    <row r="27" spans="2:12" ht="15" hidden="1" outlineLevel="1">
      <c r="B27" s="227"/>
      <c r="C27" s="471" t="s">
        <v>8</v>
      </c>
      <c r="D27" s="472"/>
      <c r="E27" s="473">
        <v>1060</v>
      </c>
      <c r="F27" s="474"/>
      <c r="G27" s="475">
        <v>2.91</v>
      </c>
      <c r="H27" s="476"/>
      <c r="I27" s="477">
        <v>0.14000000000000001</v>
      </c>
      <c r="J27" s="231"/>
      <c r="K27" s="259">
        <v>0.14000000000000001</v>
      </c>
      <c r="L27" s="231"/>
    </row>
    <row r="28" spans="2:12" ht="15" hidden="1" outlineLevel="1">
      <c r="B28" s="227"/>
      <c r="C28" s="471" t="s">
        <v>9</v>
      </c>
      <c r="D28" s="472"/>
      <c r="E28" s="473">
        <v>3450</v>
      </c>
      <c r="F28" s="474"/>
      <c r="G28" s="475">
        <v>9.48</v>
      </c>
      <c r="H28" s="476"/>
      <c r="I28" s="477">
        <v>0.46</v>
      </c>
      <c r="J28" s="231"/>
      <c r="K28" s="259">
        <v>0.44</v>
      </c>
      <c r="L28" s="231"/>
    </row>
    <row r="29" spans="2:12" ht="15" collapsed="1">
      <c r="B29" s="230" t="s">
        <v>104</v>
      </c>
      <c r="C29" s="254" t="s">
        <v>145</v>
      </c>
      <c r="D29" s="230"/>
      <c r="E29" s="478">
        <v>8614</v>
      </c>
      <c r="F29" s="231"/>
      <c r="G29" s="479">
        <v>23.67</v>
      </c>
      <c r="H29" s="480"/>
      <c r="I29" s="481">
        <v>1.1599999999999999</v>
      </c>
      <c r="J29" s="231"/>
      <c r="K29" s="259">
        <v>1.1100000000000001</v>
      </c>
      <c r="L29" s="231"/>
    </row>
    <row r="30" spans="2:12" ht="15">
      <c r="B30" s="249"/>
      <c r="C30" s="249"/>
      <c r="D30" s="249"/>
      <c r="E30" s="233"/>
      <c r="F30" s="249"/>
      <c r="G30" s="233"/>
      <c r="H30" s="233"/>
      <c r="I30" s="233"/>
      <c r="J30" s="233"/>
      <c r="K30" s="233"/>
      <c r="L30" s="233"/>
    </row>
    <row r="31" spans="2:12" ht="15">
      <c r="B31" s="252" t="s">
        <v>11</v>
      </c>
      <c r="C31" s="252"/>
      <c r="D31" s="230"/>
      <c r="E31" s="230"/>
      <c r="F31" s="230"/>
      <c r="G31" s="230"/>
      <c r="H31" s="230"/>
      <c r="I31" s="230"/>
      <c r="J31" s="230"/>
      <c r="K31" s="230"/>
      <c r="L31" s="230"/>
    </row>
    <row r="32" spans="2:12" ht="15">
      <c r="B32" s="230"/>
      <c r="C32" s="230"/>
      <c r="D32" s="230"/>
      <c r="E32" s="230"/>
      <c r="F32" s="230"/>
      <c r="G32" s="230"/>
      <c r="H32" s="230"/>
      <c r="I32" s="230"/>
      <c r="J32" s="230"/>
      <c r="K32" s="230"/>
      <c r="L32" s="230"/>
    </row>
    <row r="33" spans="2:12">
      <c r="B33" s="267" t="s">
        <v>105</v>
      </c>
      <c r="C33" s="267"/>
      <c r="D33" s="353"/>
      <c r="E33" s="444" t="s">
        <v>6</v>
      </c>
      <c r="F33" s="445"/>
      <c r="G33" s="444" t="s">
        <v>324</v>
      </c>
      <c r="H33" s="444"/>
      <c r="I33" s="444" t="s">
        <v>299</v>
      </c>
      <c r="J33" s="444"/>
      <c r="K33" s="444" t="s">
        <v>300</v>
      </c>
      <c r="L33" s="444"/>
    </row>
    <row r="34" spans="2:12" ht="15" hidden="1" outlineLevel="1">
      <c r="B34" s="227"/>
      <c r="C34" s="261" t="s">
        <v>106</v>
      </c>
      <c r="D34" s="482"/>
      <c r="E34" s="483">
        <v>49843</v>
      </c>
      <c r="F34" s="482"/>
      <c r="G34" s="483">
        <v>137</v>
      </c>
      <c r="H34" s="483"/>
      <c r="I34" s="484">
        <v>6.7</v>
      </c>
      <c r="J34" s="485"/>
      <c r="K34" s="486">
        <v>6.42</v>
      </c>
      <c r="L34" s="485"/>
    </row>
    <row r="35" spans="2:12" ht="15.75" hidden="1" outlineLevel="1">
      <c r="B35" s="227"/>
      <c r="C35" s="261" t="s">
        <v>325</v>
      </c>
      <c r="D35" s="487"/>
      <c r="E35" s="483">
        <v>51415</v>
      </c>
      <c r="F35" s="487"/>
      <c r="G35" s="483">
        <v>141</v>
      </c>
      <c r="H35" s="483"/>
      <c r="I35" s="484">
        <v>6.91</v>
      </c>
      <c r="J35" s="485"/>
      <c r="K35" s="486">
        <v>6.62</v>
      </c>
      <c r="L35" s="485"/>
    </row>
    <row r="36" spans="2:12" ht="15.75" hidden="1" outlineLevel="1">
      <c r="B36" s="227"/>
      <c r="C36" s="261" t="s">
        <v>326</v>
      </c>
      <c r="D36" s="487"/>
      <c r="E36" s="483">
        <v>68840</v>
      </c>
      <c r="F36" s="487"/>
      <c r="G36" s="483">
        <v>189</v>
      </c>
      <c r="H36" s="483"/>
      <c r="I36" s="484">
        <v>9.25</v>
      </c>
      <c r="J36" s="485"/>
      <c r="K36" s="486">
        <v>8.8699999999999992</v>
      </c>
      <c r="L36" s="485"/>
    </row>
    <row r="37" spans="2:12" ht="15.75" hidden="1" outlineLevel="1">
      <c r="B37" s="227"/>
      <c r="C37" s="261" t="s">
        <v>327</v>
      </c>
      <c r="D37" s="487"/>
      <c r="E37" s="483">
        <v>956</v>
      </c>
      <c r="F37" s="487"/>
      <c r="G37" s="483">
        <v>2.63</v>
      </c>
      <c r="H37" s="483"/>
      <c r="I37" s="484">
        <v>0.13</v>
      </c>
      <c r="J37" s="485"/>
      <c r="K37" s="486">
        <v>0.12</v>
      </c>
      <c r="L37" s="485"/>
    </row>
    <row r="38" spans="2:12" ht="15.75" hidden="1" outlineLevel="1">
      <c r="B38" s="227"/>
      <c r="C38" s="261" t="s">
        <v>328</v>
      </c>
      <c r="D38" s="487"/>
      <c r="E38" s="483">
        <v>345053</v>
      </c>
      <c r="F38" s="487"/>
      <c r="G38" s="483">
        <v>948</v>
      </c>
      <c r="H38" s="483"/>
      <c r="I38" s="484">
        <v>46.37</v>
      </c>
      <c r="J38" s="485"/>
      <c r="K38" s="486">
        <v>44.46</v>
      </c>
      <c r="L38" s="485"/>
    </row>
    <row r="39" spans="2:12" ht="15.75" hidden="1" outlineLevel="1">
      <c r="B39" s="227"/>
      <c r="C39" s="261" t="s">
        <v>329</v>
      </c>
      <c r="D39" s="487"/>
      <c r="E39" s="483">
        <v>123455</v>
      </c>
      <c r="F39" s="487"/>
      <c r="G39" s="483">
        <v>339</v>
      </c>
      <c r="H39" s="483"/>
      <c r="I39" s="484">
        <v>16.59</v>
      </c>
      <c r="J39" s="485"/>
      <c r="K39" s="486">
        <v>15.91</v>
      </c>
      <c r="L39" s="485"/>
    </row>
    <row r="40" spans="2:12" ht="15.75" hidden="1" outlineLevel="1">
      <c r="B40" s="227"/>
      <c r="C40" s="261" t="s">
        <v>107</v>
      </c>
      <c r="D40" s="487"/>
      <c r="E40" s="483">
        <v>1133</v>
      </c>
      <c r="F40" s="487"/>
      <c r="G40" s="483">
        <v>3</v>
      </c>
      <c r="H40" s="483"/>
      <c r="I40" s="484">
        <v>0.15</v>
      </c>
      <c r="J40" s="485"/>
      <c r="K40" s="486">
        <v>0.15</v>
      </c>
      <c r="L40" s="485"/>
    </row>
    <row r="41" spans="2:12" ht="15" collapsed="1">
      <c r="B41" s="230" t="s">
        <v>108</v>
      </c>
      <c r="C41" s="230"/>
      <c r="D41" s="230"/>
      <c r="E41" s="488">
        <v>640695</v>
      </c>
      <c r="F41" s="230"/>
      <c r="G41" s="489">
        <v>1760</v>
      </c>
      <c r="H41" s="488"/>
      <c r="I41" s="490">
        <v>86.1</v>
      </c>
      <c r="J41" s="491"/>
      <c r="K41" s="490">
        <v>82.56</v>
      </c>
      <c r="L41" s="491"/>
    </row>
    <row r="42" spans="2:12" ht="5.0999999999999996" customHeight="1">
      <c r="B42" s="394"/>
      <c r="C42" s="394"/>
      <c r="D42" s="394"/>
      <c r="E42" s="492"/>
      <c r="F42" s="394"/>
      <c r="G42" s="297"/>
      <c r="H42" s="492"/>
      <c r="I42" s="227"/>
      <c r="J42" s="230"/>
      <c r="K42" s="281"/>
      <c r="L42" s="230"/>
    </row>
    <row r="43" spans="2:12" ht="15.75" hidden="1" outlineLevel="1">
      <c r="B43" s="227"/>
      <c r="C43" s="261" t="s">
        <v>292</v>
      </c>
      <c r="D43" s="487"/>
      <c r="E43" s="483">
        <v>140445</v>
      </c>
      <c r="F43" s="482"/>
      <c r="G43" s="483">
        <v>386</v>
      </c>
      <c r="H43" s="483"/>
      <c r="I43" s="484">
        <v>18.87</v>
      </c>
      <c r="J43" s="485"/>
      <c r="K43" s="486">
        <v>18.100000000000001</v>
      </c>
      <c r="L43" s="485"/>
    </row>
    <row r="44" spans="2:12" ht="15.75" hidden="1" outlineLevel="1">
      <c r="B44" s="227"/>
      <c r="C44" s="261" t="s">
        <v>109</v>
      </c>
      <c r="D44" s="487"/>
      <c r="E44" s="483">
        <v>387347</v>
      </c>
      <c r="F44" s="482"/>
      <c r="G44" s="483">
        <v>1064</v>
      </c>
      <c r="H44" s="483"/>
      <c r="I44" s="484">
        <v>52.05</v>
      </c>
      <c r="J44" s="485"/>
      <c r="K44" s="486">
        <v>49.91</v>
      </c>
      <c r="L44" s="485"/>
    </row>
    <row r="45" spans="2:12" ht="15.75" hidden="1" outlineLevel="1">
      <c r="B45" s="227"/>
      <c r="C45" s="261" t="s">
        <v>48</v>
      </c>
      <c r="D45" s="487"/>
      <c r="E45" s="483">
        <v>421040</v>
      </c>
      <c r="F45" s="482"/>
      <c r="G45" s="483">
        <v>1157</v>
      </c>
      <c r="H45" s="483"/>
      <c r="I45" s="484">
        <v>56.58</v>
      </c>
      <c r="J45" s="485"/>
      <c r="K45" s="486">
        <v>54.25</v>
      </c>
      <c r="L45" s="485"/>
    </row>
    <row r="46" spans="2:12" ht="15.75" hidden="1" outlineLevel="1">
      <c r="B46" s="227"/>
      <c r="C46" s="261" t="s">
        <v>59</v>
      </c>
      <c r="D46" s="487"/>
      <c r="E46" s="483">
        <v>179649</v>
      </c>
      <c r="F46" s="482"/>
      <c r="G46" s="483">
        <v>494</v>
      </c>
      <c r="H46" s="483"/>
      <c r="I46" s="484">
        <v>24.14</v>
      </c>
      <c r="J46" s="485"/>
      <c r="K46" s="486">
        <v>23.15</v>
      </c>
      <c r="L46" s="485"/>
    </row>
    <row r="47" spans="2:12" ht="15.75" hidden="1" outlineLevel="1">
      <c r="B47" s="227"/>
      <c r="C47" s="261" t="s">
        <v>110</v>
      </c>
      <c r="D47" s="487"/>
      <c r="E47" s="483">
        <v>118635</v>
      </c>
      <c r="F47" s="482"/>
      <c r="G47" s="483">
        <v>326</v>
      </c>
      <c r="H47" s="483"/>
      <c r="I47" s="484">
        <v>15.94</v>
      </c>
      <c r="J47" s="485"/>
      <c r="K47" s="486">
        <v>15.29</v>
      </c>
      <c r="L47" s="485"/>
    </row>
    <row r="48" spans="2:12" ht="15.75" hidden="1" outlineLevel="1">
      <c r="B48" s="227"/>
      <c r="C48" s="261" t="s">
        <v>111</v>
      </c>
      <c r="D48" s="487"/>
      <c r="E48" s="483">
        <v>138036</v>
      </c>
      <c r="F48" s="482"/>
      <c r="G48" s="483">
        <v>379</v>
      </c>
      <c r="H48" s="483"/>
      <c r="I48" s="484">
        <v>18.55</v>
      </c>
      <c r="J48" s="485"/>
      <c r="K48" s="486">
        <v>17.79</v>
      </c>
      <c r="L48" s="485"/>
    </row>
    <row r="49" spans="2:12" ht="15" collapsed="1">
      <c r="B49" s="230" t="s">
        <v>112</v>
      </c>
      <c r="C49" s="230"/>
      <c r="D49" s="230"/>
      <c r="E49" s="488">
        <v>1385152</v>
      </c>
      <c r="F49" s="230"/>
      <c r="G49" s="489">
        <v>3806</v>
      </c>
      <c r="H49" s="488"/>
      <c r="I49" s="490">
        <v>186.14</v>
      </c>
      <c r="J49" s="491"/>
      <c r="K49" s="490">
        <v>178.48</v>
      </c>
      <c r="L49" s="491"/>
    </row>
    <row r="50" spans="2:12" ht="5.0999999999999996" customHeight="1">
      <c r="B50" s="493"/>
      <c r="C50" s="493"/>
      <c r="D50" s="269"/>
      <c r="E50" s="494"/>
      <c r="F50" s="494"/>
      <c r="G50" s="495"/>
      <c r="H50" s="494"/>
      <c r="I50" s="494"/>
      <c r="J50" s="494"/>
      <c r="K50" s="494"/>
      <c r="L50" s="494"/>
    </row>
    <row r="51" spans="2:12" ht="15">
      <c r="B51" s="230" t="s">
        <v>113</v>
      </c>
      <c r="C51" s="230"/>
      <c r="D51" s="230"/>
      <c r="E51" s="496">
        <v>2025847</v>
      </c>
      <c r="F51" s="230"/>
      <c r="G51" s="312">
        <v>5566</v>
      </c>
      <c r="H51" s="496"/>
      <c r="I51" s="322">
        <v>272.24</v>
      </c>
      <c r="J51" s="497"/>
      <c r="K51" s="498">
        <v>261.04000000000002</v>
      </c>
      <c r="L51" s="497"/>
    </row>
    <row r="52" spans="2:12" ht="15">
      <c r="B52" s="230"/>
      <c r="C52" s="230"/>
      <c r="D52" s="230"/>
      <c r="E52" s="270"/>
      <c r="F52" s="230"/>
      <c r="G52" s="499"/>
      <c r="H52" s="230"/>
      <c r="I52" s="499"/>
      <c r="J52" s="230"/>
      <c r="K52" s="230"/>
      <c r="L52" s="230"/>
    </row>
    <row r="53" spans="2:12" ht="15">
      <c r="B53" s="267" t="s">
        <v>114</v>
      </c>
      <c r="C53" s="267"/>
      <c r="D53" s="270"/>
      <c r="E53" s="278"/>
      <c r="F53" s="278"/>
      <c r="G53" s="278"/>
      <c r="H53" s="278"/>
      <c r="I53" s="500"/>
      <c r="J53" s="278"/>
      <c r="K53" s="278"/>
      <c r="L53" s="278"/>
    </row>
    <row r="54" spans="2:12" ht="15" hidden="1" outlineLevel="1">
      <c r="B54" s="227"/>
      <c r="C54" s="261" t="s">
        <v>115</v>
      </c>
      <c r="D54" s="482"/>
      <c r="E54" s="483">
        <v>199493</v>
      </c>
      <c r="F54" s="482"/>
      <c r="G54" s="483">
        <v>548</v>
      </c>
      <c r="H54" s="483"/>
      <c r="I54" s="484">
        <v>26.81</v>
      </c>
      <c r="J54" s="485"/>
      <c r="K54" s="486">
        <v>25.71</v>
      </c>
      <c r="L54" s="485"/>
    </row>
    <row r="55" spans="2:12" ht="15.75" hidden="1" outlineLevel="1">
      <c r="B55" s="227"/>
      <c r="C55" s="261" t="s">
        <v>116</v>
      </c>
      <c r="D55" s="487"/>
      <c r="E55" s="483">
        <v>125046</v>
      </c>
      <c r="F55" s="487"/>
      <c r="G55" s="483">
        <v>344</v>
      </c>
      <c r="H55" s="483"/>
      <c r="I55" s="484">
        <v>16.8</v>
      </c>
      <c r="J55" s="485"/>
      <c r="K55" s="486">
        <v>16.11</v>
      </c>
      <c r="L55" s="485"/>
    </row>
    <row r="56" spans="2:12" ht="15.75" collapsed="1">
      <c r="B56" s="254" t="s">
        <v>117</v>
      </c>
      <c r="C56" s="232"/>
      <c r="D56" s="230"/>
      <c r="E56" s="269">
        <v>324539</v>
      </c>
      <c r="F56" s="230"/>
      <c r="G56" s="269">
        <v>892</v>
      </c>
      <c r="H56" s="501"/>
      <c r="I56" s="310">
        <v>43.61</v>
      </c>
      <c r="J56" s="502"/>
      <c r="K56" s="310">
        <v>41.82</v>
      </c>
      <c r="L56" s="502"/>
    </row>
    <row r="57" spans="2:12" ht="5.0999999999999996" customHeight="1">
      <c r="B57" s="394"/>
      <c r="C57" s="394"/>
      <c r="D57" s="394"/>
      <c r="E57" s="503"/>
      <c r="F57" s="394"/>
      <c r="G57" s="490"/>
      <c r="H57" s="492"/>
      <c r="I57" s="489"/>
      <c r="J57" s="230"/>
      <c r="K57" s="281"/>
      <c r="L57" s="230"/>
    </row>
    <row r="58" spans="2:12" ht="15.75">
      <c r="B58" s="254" t="s">
        <v>118</v>
      </c>
      <c r="C58" s="232"/>
      <c r="D58" s="230"/>
      <c r="E58" s="269">
        <v>618796</v>
      </c>
      <c r="F58" s="230"/>
      <c r="G58" s="269">
        <v>1700</v>
      </c>
      <c r="H58" s="501"/>
      <c r="I58" s="310">
        <v>83.16</v>
      </c>
      <c r="J58" s="504"/>
      <c r="K58" s="310">
        <v>79.73</v>
      </c>
      <c r="L58" s="502"/>
    </row>
    <row r="59" spans="2:12" ht="5.0999999999999996" customHeight="1">
      <c r="B59" s="505"/>
      <c r="C59" s="493"/>
      <c r="D59" s="230"/>
      <c r="E59" s="494"/>
      <c r="F59" s="230"/>
      <c r="G59" s="495"/>
      <c r="H59" s="494"/>
      <c r="I59" s="494"/>
      <c r="J59" s="494"/>
      <c r="K59" s="494"/>
      <c r="L59" s="494"/>
    </row>
    <row r="60" spans="2:12" ht="15">
      <c r="B60" s="230" t="s">
        <v>119</v>
      </c>
      <c r="C60" s="230"/>
      <c r="D60" s="230"/>
      <c r="E60" s="497">
        <v>943335</v>
      </c>
      <c r="F60" s="230"/>
      <c r="G60" s="497">
        <v>2592</v>
      </c>
      <c r="H60" s="497"/>
      <c r="I60" s="498">
        <v>126.77</v>
      </c>
      <c r="J60" s="497"/>
      <c r="K60" s="498">
        <v>121.55</v>
      </c>
      <c r="L60" s="497"/>
    </row>
    <row r="61" spans="2:12" ht="9.9499999999999993" customHeight="1">
      <c r="B61" s="230"/>
      <c r="C61" s="230"/>
      <c r="D61" s="230"/>
      <c r="E61" s="269"/>
      <c r="F61" s="230"/>
      <c r="G61" s="269"/>
      <c r="H61" s="230"/>
      <c r="I61" s="230"/>
      <c r="J61" s="230"/>
      <c r="K61" s="230"/>
      <c r="L61" s="230"/>
    </row>
    <row r="62" spans="2:12" ht="15">
      <c r="B62" s="4" t="s">
        <v>120</v>
      </c>
      <c r="C62" s="506"/>
      <c r="D62" s="506"/>
      <c r="E62" s="507">
        <v>1082511</v>
      </c>
      <c r="F62" s="507"/>
      <c r="G62" s="507">
        <v>2974</v>
      </c>
      <c r="H62" s="507"/>
      <c r="I62" s="508">
        <v>145.47</v>
      </c>
      <c r="J62" s="508"/>
      <c r="K62" s="508">
        <v>139.47999999999999</v>
      </c>
      <c r="L62" s="509"/>
    </row>
    <row r="63" spans="2:12" ht="15">
      <c r="B63" s="230" t="s">
        <v>121</v>
      </c>
      <c r="C63" s="230"/>
      <c r="D63" s="230"/>
      <c r="E63" s="286">
        <v>0.47</v>
      </c>
      <c r="F63" s="286"/>
      <c r="G63" s="286"/>
      <c r="H63" s="286"/>
      <c r="I63" s="286"/>
      <c r="J63" s="286"/>
      <c r="K63" s="286"/>
      <c r="L63" s="286"/>
    </row>
    <row r="64" spans="2:12" ht="15">
      <c r="B64" s="249"/>
      <c r="C64" s="249"/>
      <c r="D64" s="233"/>
      <c r="E64" s="233"/>
      <c r="F64" s="233"/>
      <c r="G64" s="233"/>
      <c r="H64" s="233"/>
      <c r="I64" s="233"/>
      <c r="J64" s="233"/>
      <c r="K64" s="233"/>
      <c r="L64" s="233"/>
    </row>
    <row r="65" spans="2:12" ht="15" customHeight="1">
      <c r="B65" s="252" t="s">
        <v>122</v>
      </c>
      <c r="C65" s="252"/>
      <c r="D65" s="230"/>
      <c r="E65" s="637" t="s">
        <v>177</v>
      </c>
      <c r="F65" s="637"/>
      <c r="G65" s="637"/>
      <c r="H65" s="637"/>
      <c r="I65" s="637"/>
      <c r="J65" s="637"/>
      <c r="K65" s="637"/>
      <c r="L65" s="510"/>
    </row>
    <row r="66" spans="2:12" ht="15" thickBot="1">
      <c r="B66" s="511" t="s">
        <v>123</v>
      </c>
      <c r="C66" s="511"/>
      <c r="D66" s="511"/>
      <c r="E66" s="638"/>
      <c r="F66" s="638"/>
      <c r="G66" s="638"/>
      <c r="H66" s="638"/>
      <c r="I66" s="638"/>
      <c r="J66" s="638"/>
      <c r="K66" s="638"/>
      <c r="L66" s="512"/>
    </row>
    <row r="67" spans="2:12" ht="15">
      <c r="B67" s="230"/>
      <c r="C67" s="230"/>
      <c r="D67" s="227"/>
      <c r="E67" s="513" t="s">
        <v>6</v>
      </c>
      <c r="F67" s="514"/>
      <c r="G67" s="513"/>
      <c r="H67" s="513"/>
      <c r="I67" s="513" t="s">
        <v>299</v>
      </c>
      <c r="J67" s="513"/>
      <c r="K67" s="513" t="s">
        <v>300</v>
      </c>
      <c r="L67" s="513"/>
    </row>
    <row r="68" spans="2:12" ht="15">
      <c r="B68" s="515" t="s">
        <v>124</v>
      </c>
      <c r="C68" s="516"/>
      <c r="D68" s="517"/>
      <c r="E68" s="518"/>
      <c r="F68" s="517"/>
      <c r="G68" s="519"/>
      <c r="H68" s="519"/>
      <c r="I68" s="520"/>
      <c r="J68" s="520"/>
      <c r="K68" s="520"/>
      <c r="L68" s="521"/>
    </row>
    <row r="69" spans="2:12" ht="5.0999999999999996" customHeight="1">
      <c r="B69" s="394"/>
      <c r="C69" s="395"/>
      <c r="D69" s="394"/>
      <c r="E69" s="503"/>
      <c r="F69" s="394"/>
      <c r="G69" s="503"/>
      <c r="H69" s="503"/>
      <c r="I69" s="522"/>
      <c r="J69" s="230"/>
      <c r="K69" s="227"/>
      <c r="L69" s="230"/>
    </row>
    <row r="70" spans="2:12" ht="15.75" hidden="1" outlineLevel="2">
      <c r="B70" s="523"/>
      <c r="C70" s="524" t="s">
        <v>189</v>
      </c>
      <c r="D70" s="525"/>
      <c r="E70" s="526">
        <v>21100</v>
      </c>
      <c r="F70" s="527"/>
      <c r="G70" s="528"/>
      <c r="H70" s="528"/>
      <c r="I70" s="528">
        <v>2.84</v>
      </c>
      <c r="J70" s="528"/>
      <c r="K70" s="528">
        <v>2.72</v>
      </c>
      <c r="L70" s="529"/>
    </row>
    <row r="71" spans="2:12" ht="15.75" hidden="1" outlineLevel="2">
      <c r="B71" s="523"/>
      <c r="C71" s="524" t="s">
        <v>306</v>
      </c>
      <c r="D71" s="525"/>
      <c r="E71" s="526">
        <v>9396</v>
      </c>
      <c r="F71" s="527"/>
      <c r="G71" s="528"/>
      <c r="H71" s="528"/>
      <c r="I71" s="528">
        <v>1.26</v>
      </c>
      <c r="J71" s="528"/>
      <c r="K71" s="528">
        <v>1.21</v>
      </c>
      <c r="L71" s="529"/>
    </row>
    <row r="72" spans="2:12" ht="15.75" hidden="1" outlineLevel="2">
      <c r="B72" s="523"/>
      <c r="C72" s="524" t="s">
        <v>191</v>
      </c>
      <c r="D72" s="525"/>
      <c r="E72" s="526">
        <v>801</v>
      </c>
      <c r="F72" s="527"/>
      <c r="G72" s="528"/>
      <c r="H72" s="528"/>
      <c r="I72" s="528">
        <v>0.11</v>
      </c>
      <c r="J72" s="528"/>
      <c r="K72" s="528">
        <v>0.1</v>
      </c>
      <c r="L72" s="529"/>
    </row>
    <row r="73" spans="2:12" ht="15" hidden="1" outlineLevel="1" collapsed="1">
      <c r="B73" s="394"/>
      <c r="C73" s="530" t="s">
        <v>188</v>
      </c>
      <c r="D73" s="531"/>
      <c r="E73" s="532">
        <v>31296</v>
      </c>
      <c r="F73" s="533"/>
      <c r="G73" s="529"/>
      <c r="H73" s="529"/>
      <c r="I73" s="529">
        <v>4.21</v>
      </c>
      <c r="J73" s="529"/>
      <c r="K73" s="529">
        <v>4.03</v>
      </c>
      <c r="L73" s="529"/>
    </row>
    <row r="74" spans="2:12" ht="15.75" hidden="1" outlineLevel="2">
      <c r="B74" s="523"/>
      <c r="C74" s="524" t="s">
        <v>194</v>
      </c>
      <c r="D74" s="525"/>
      <c r="E74" s="526">
        <v>6476</v>
      </c>
      <c r="F74" s="527"/>
      <c r="G74" s="528"/>
      <c r="H74" s="528"/>
      <c r="I74" s="528">
        <v>0.87</v>
      </c>
      <c r="J74" s="528"/>
      <c r="K74" s="528">
        <v>0.83</v>
      </c>
      <c r="L74" s="529"/>
    </row>
    <row r="75" spans="2:12" ht="15.75" hidden="1" outlineLevel="2">
      <c r="B75" s="523"/>
      <c r="C75" s="524" t="s">
        <v>195</v>
      </c>
      <c r="D75" s="525"/>
      <c r="E75" s="526">
        <v>8435</v>
      </c>
      <c r="F75" s="527"/>
      <c r="G75" s="528"/>
      <c r="H75" s="528"/>
      <c r="I75" s="528">
        <v>1.1299999999999999</v>
      </c>
      <c r="J75" s="528"/>
      <c r="K75" s="528">
        <v>1.0900000000000001</v>
      </c>
      <c r="L75" s="529"/>
    </row>
    <row r="76" spans="2:12" ht="15" hidden="1" outlineLevel="1" collapsed="1">
      <c r="B76" s="394"/>
      <c r="C76" s="530" t="s">
        <v>193</v>
      </c>
      <c r="D76" s="531"/>
      <c r="E76" s="532">
        <v>14911</v>
      </c>
      <c r="F76" s="533"/>
      <c r="G76" s="529"/>
      <c r="H76" s="529"/>
      <c r="I76" s="529">
        <v>2</v>
      </c>
      <c r="J76" s="529">
        <v>0</v>
      </c>
      <c r="K76" s="529">
        <v>1.92</v>
      </c>
      <c r="L76" s="529"/>
    </row>
    <row r="77" spans="2:12" ht="15" customHeight="1" collapsed="1">
      <c r="B77" s="632" t="s">
        <v>192</v>
      </c>
      <c r="C77" s="633"/>
      <c r="D77" s="394"/>
      <c r="E77" s="282">
        <v>46208</v>
      </c>
      <c r="F77" s="534"/>
      <c r="G77" s="282"/>
      <c r="H77" s="296"/>
      <c r="I77" s="296">
        <v>6.21</v>
      </c>
      <c r="J77" s="296"/>
      <c r="K77" s="296">
        <v>5.95</v>
      </c>
      <c r="L77" s="296"/>
    </row>
    <row r="78" spans="2:12" ht="5.0999999999999996" customHeight="1">
      <c r="B78" s="394"/>
      <c r="C78" s="395"/>
      <c r="D78" s="394"/>
      <c r="E78" s="282"/>
      <c r="F78" s="534"/>
      <c r="G78" s="282"/>
      <c r="H78" s="296"/>
      <c r="I78" s="296"/>
      <c r="J78" s="296"/>
      <c r="K78" s="296"/>
      <c r="L78" s="296"/>
    </row>
    <row r="79" spans="2:12" ht="15" hidden="1" outlineLevel="1">
      <c r="B79" s="394"/>
      <c r="C79" s="530" t="s">
        <v>198</v>
      </c>
      <c r="D79" s="394"/>
      <c r="E79" s="532">
        <v>61171</v>
      </c>
      <c r="F79" s="534"/>
      <c r="G79" s="532"/>
      <c r="H79" s="529"/>
      <c r="I79" s="529">
        <v>8.2200000000000006</v>
      </c>
      <c r="J79" s="529"/>
      <c r="K79" s="529">
        <v>7.88</v>
      </c>
      <c r="L79" s="529"/>
    </row>
    <row r="80" spans="2:12" ht="15" hidden="1" outlineLevel="1">
      <c r="B80" s="394"/>
      <c r="C80" s="530" t="s">
        <v>199</v>
      </c>
      <c r="D80" s="394"/>
      <c r="E80" s="532">
        <v>78505</v>
      </c>
      <c r="F80" s="534"/>
      <c r="G80" s="532"/>
      <c r="H80" s="529"/>
      <c r="I80" s="529">
        <v>10.55</v>
      </c>
      <c r="J80" s="529"/>
      <c r="K80" s="529">
        <v>10.119999999999999</v>
      </c>
      <c r="L80" s="529"/>
    </row>
    <row r="81" spans="2:12" ht="15" hidden="1" outlineLevel="1">
      <c r="B81" s="394"/>
      <c r="C81" s="535" t="s">
        <v>200</v>
      </c>
      <c r="D81" s="394"/>
      <c r="E81" s="532">
        <v>388177</v>
      </c>
      <c r="F81" s="534"/>
      <c r="G81" s="532"/>
      <c r="H81" s="529"/>
      <c r="I81" s="529">
        <v>52.17</v>
      </c>
      <c r="J81" s="529"/>
      <c r="K81" s="529">
        <v>50.02</v>
      </c>
      <c r="L81" s="529"/>
    </row>
    <row r="82" spans="2:12" ht="15" hidden="1" outlineLevel="1">
      <c r="B82" s="394"/>
      <c r="C82" s="535" t="s">
        <v>201</v>
      </c>
      <c r="D82" s="394"/>
      <c r="E82" s="532">
        <v>149712</v>
      </c>
      <c r="F82" s="534"/>
      <c r="G82" s="532"/>
      <c r="H82" s="529"/>
      <c r="I82" s="529">
        <v>20.12</v>
      </c>
      <c r="J82" s="529"/>
      <c r="K82" s="529">
        <v>19.29</v>
      </c>
      <c r="L82" s="529"/>
    </row>
    <row r="83" spans="2:12" ht="15" hidden="1" outlineLevel="1">
      <c r="B83" s="394"/>
      <c r="C83" s="535" t="s">
        <v>202</v>
      </c>
      <c r="D83" s="394"/>
      <c r="E83" s="532">
        <v>2289</v>
      </c>
      <c r="F83" s="534"/>
      <c r="G83" s="532"/>
      <c r="H83" s="529"/>
      <c r="I83" s="529">
        <v>0.31</v>
      </c>
      <c r="J83" s="529"/>
      <c r="K83" s="529">
        <v>0.28999999999999998</v>
      </c>
      <c r="L83" s="529"/>
    </row>
    <row r="84" spans="2:12" ht="15" hidden="1" outlineLevel="1">
      <c r="B84" s="394"/>
      <c r="C84" s="530" t="s">
        <v>203</v>
      </c>
      <c r="D84" s="394"/>
      <c r="E84" s="532">
        <v>103835</v>
      </c>
      <c r="F84" s="534"/>
      <c r="G84" s="532"/>
      <c r="H84" s="529"/>
      <c r="I84" s="529">
        <v>13.95</v>
      </c>
      <c r="J84" s="529"/>
      <c r="K84" s="529">
        <v>13.38</v>
      </c>
      <c r="L84" s="529"/>
    </row>
    <row r="85" spans="2:12" ht="15" hidden="1" outlineLevel="1">
      <c r="B85" s="394"/>
      <c r="C85" s="535" t="s">
        <v>307</v>
      </c>
      <c r="D85" s="394"/>
      <c r="E85" s="532">
        <v>45929</v>
      </c>
      <c r="F85" s="534"/>
      <c r="G85" s="532"/>
      <c r="H85" s="529"/>
      <c r="I85" s="529">
        <v>6.17</v>
      </c>
      <c r="J85" s="529"/>
      <c r="K85" s="529">
        <v>5.92</v>
      </c>
      <c r="L85" s="529"/>
    </row>
    <row r="86" spans="2:12" ht="15" hidden="1" outlineLevel="1">
      <c r="B86" s="394"/>
      <c r="C86" s="535" t="s">
        <v>205</v>
      </c>
      <c r="D86" s="394"/>
      <c r="E86" s="532">
        <v>5962</v>
      </c>
      <c r="F86" s="534"/>
      <c r="G86" s="532"/>
      <c r="H86" s="529"/>
      <c r="I86" s="529">
        <v>0.8</v>
      </c>
      <c r="J86" s="529"/>
      <c r="K86" s="529">
        <v>0.77</v>
      </c>
      <c r="L86" s="529"/>
    </row>
    <row r="87" spans="2:12" ht="15" hidden="1" outlineLevel="1">
      <c r="B87" s="394"/>
      <c r="C87" s="535" t="s">
        <v>206</v>
      </c>
      <c r="D87" s="394"/>
      <c r="E87" s="532">
        <v>16169</v>
      </c>
      <c r="F87" s="534"/>
      <c r="G87" s="532"/>
      <c r="H87" s="529"/>
      <c r="I87" s="529">
        <v>2.17</v>
      </c>
      <c r="J87" s="529"/>
      <c r="K87" s="529">
        <v>2.08</v>
      </c>
      <c r="L87" s="529"/>
    </row>
    <row r="88" spans="2:12" ht="15" hidden="1" outlineLevel="1">
      <c r="B88" s="394"/>
      <c r="C88" s="530" t="s">
        <v>207</v>
      </c>
      <c r="D88" s="394"/>
      <c r="E88" s="532">
        <v>4593</v>
      </c>
      <c r="F88" s="534"/>
      <c r="G88" s="532"/>
      <c r="H88" s="529"/>
      <c r="I88" s="529">
        <v>0.62</v>
      </c>
      <c r="J88" s="529"/>
      <c r="K88" s="529">
        <v>0.59</v>
      </c>
      <c r="L88" s="529"/>
    </row>
    <row r="89" spans="2:12" ht="15" hidden="1" outlineLevel="1">
      <c r="B89" s="394"/>
      <c r="C89" s="535" t="s">
        <v>208</v>
      </c>
      <c r="D89" s="394"/>
      <c r="E89" s="532">
        <v>36151</v>
      </c>
      <c r="F89" s="534"/>
      <c r="G89" s="532"/>
      <c r="H89" s="529"/>
      <c r="I89" s="529">
        <v>4.8600000000000003</v>
      </c>
      <c r="J89" s="529"/>
      <c r="K89" s="529">
        <v>4.66</v>
      </c>
      <c r="L89" s="529"/>
    </row>
    <row r="90" spans="2:12" ht="15" hidden="1" outlineLevel="1">
      <c r="B90" s="394"/>
      <c r="C90" s="535" t="s">
        <v>209</v>
      </c>
      <c r="D90" s="394"/>
      <c r="E90" s="532">
        <v>555</v>
      </c>
      <c r="F90" s="534"/>
      <c r="G90" s="532"/>
      <c r="H90" s="529"/>
      <c r="I90" s="529">
        <v>7.0000000000000007E-2</v>
      </c>
      <c r="J90" s="529"/>
      <c r="K90" s="529">
        <v>7.0000000000000007E-2</v>
      </c>
      <c r="L90" s="529"/>
    </row>
    <row r="91" spans="2:12" ht="15" customHeight="1" collapsed="1">
      <c r="B91" s="632" t="s">
        <v>197</v>
      </c>
      <c r="C91" s="633"/>
      <c r="D91" s="394"/>
      <c r="E91" s="282">
        <v>893047</v>
      </c>
      <c r="F91" s="534"/>
      <c r="G91" s="282"/>
      <c r="H91" s="296"/>
      <c r="I91" s="296">
        <v>120.01</v>
      </c>
      <c r="J91" s="296"/>
      <c r="K91" s="296">
        <v>115.07</v>
      </c>
      <c r="L91" s="296"/>
    </row>
    <row r="92" spans="2:12" ht="5.0999999999999996" customHeight="1">
      <c r="B92" s="536"/>
      <c r="C92" s="395"/>
      <c r="D92" s="394"/>
      <c r="E92" s="489"/>
      <c r="F92" s="534"/>
      <c r="G92" s="489"/>
      <c r="H92" s="490"/>
      <c r="I92" s="490"/>
      <c r="J92" s="490"/>
      <c r="K92" s="490"/>
      <c r="L92" s="490"/>
    </row>
    <row r="93" spans="2:12" ht="15.75" hidden="1" outlineLevel="1">
      <c r="B93" s="394"/>
      <c r="C93" s="537" t="s">
        <v>211</v>
      </c>
      <c r="D93" s="531"/>
      <c r="E93" s="538">
        <v>49537</v>
      </c>
      <c r="F93" s="539"/>
      <c r="G93" s="538"/>
      <c r="H93" s="539"/>
      <c r="I93" s="539">
        <v>6.66</v>
      </c>
      <c r="J93" s="539"/>
      <c r="K93" s="539">
        <v>6.38</v>
      </c>
      <c r="L93" s="539"/>
    </row>
    <row r="94" spans="2:12" ht="15" hidden="1" outlineLevel="1">
      <c r="B94" s="394"/>
      <c r="C94" s="530" t="s">
        <v>212</v>
      </c>
      <c r="D94" s="531"/>
      <c r="E94" s="538">
        <v>17452</v>
      </c>
      <c r="F94" s="533"/>
      <c r="G94" s="538"/>
      <c r="H94" s="539"/>
      <c r="I94" s="539">
        <v>2.35</v>
      </c>
      <c r="J94" s="539"/>
      <c r="K94" s="539">
        <v>2.25</v>
      </c>
      <c r="L94" s="540"/>
    </row>
    <row r="95" spans="2:12" ht="15" customHeight="1" collapsed="1">
      <c r="B95" s="632" t="s">
        <v>253</v>
      </c>
      <c r="C95" s="633"/>
      <c r="D95" s="394"/>
      <c r="E95" s="282">
        <v>66989</v>
      </c>
      <c r="F95" s="534"/>
      <c r="G95" s="282"/>
      <c r="H95" s="296"/>
      <c r="I95" s="296">
        <v>9</v>
      </c>
      <c r="J95" s="296"/>
      <c r="K95" s="296">
        <v>8.6300000000000008</v>
      </c>
      <c r="L95" s="296"/>
    </row>
    <row r="96" spans="2:12" ht="5.0999999999999996" customHeight="1">
      <c r="B96" s="536"/>
      <c r="C96" s="395"/>
      <c r="D96" s="394"/>
      <c r="E96" s="489"/>
      <c r="F96" s="534"/>
      <c r="G96" s="489"/>
      <c r="H96" s="490"/>
      <c r="I96" s="490"/>
      <c r="J96" s="490"/>
      <c r="K96" s="490"/>
      <c r="L96" s="490"/>
    </row>
    <row r="97" spans="2:12" ht="15.75" hidden="1" outlineLevel="1">
      <c r="B97" s="536"/>
      <c r="C97" s="537" t="s">
        <v>216</v>
      </c>
      <c r="D97" s="394"/>
      <c r="E97" s="538">
        <v>22827</v>
      </c>
      <c r="F97" s="539"/>
      <c r="G97" s="538"/>
      <c r="H97" s="539"/>
      <c r="I97" s="539">
        <v>3.07</v>
      </c>
      <c r="J97" s="539"/>
      <c r="K97" s="539">
        <v>2.94</v>
      </c>
      <c r="L97" s="539"/>
    </row>
    <row r="98" spans="2:12" ht="15.75" hidden="1" outlineLevel="1">
      <c r="B98" s="536"/>
      <c r="C98" s="537" t="s">
        <v>217</v>
      </c>
      <c r="D98" s="394"/>
      <c r="E98" s="538">
        <v>11897</v>
      </c>
      <c r="F98" s="539"/>
      <c r="G98" s="538"/>
      <c r="H98" s="539"/>
      <c r="I98" s="539">
        <v>1.6</v>
      </c>
      <c r="J98" s="539"/>
      <c r="K98" s="539">
        <v>1.53</v>
      </c>
      <c r="L98" s="539"/>
    </row>
    <row r="99" spans="2:12" ht="15.75" hidden="1" outlineLevel="1">
      <c r="B99" s="536"/>
      <c r="C99" s="537" t="s">
        <v>218</v>
      </c>
      <c r="D99" s="394"/>
      <c r="E99" s="538">
        <v>16</v>
      </c>
      <c r="F99" s="539"/>
      <c r="G99" s="538"/>
      <c r="H99" s="539"/>
      <c r="I99" s="539">
        <v>0</v>
      </c>
      <c r="J99" s="539"/>
      <c r="K99" s="539">
        <v>0</v>
      </c>
      <c r="L99" s="539"/>
    </row>
    <row r="100" spans="2:12" ht="15.75" hidden="1" outlineLevel="1">
      <c r="B100" s="536"/>
      <c r="C100" s="537" t="s">
        <v>308</v>
      </c>
      <c r="D100" s="394"/>
      <c r="E100" s="538">
        <v>850</v>
      </c>
      <c r="F100" s="539"/>
      <c r="G100" s="538"/>
      <c r="H100" s="539"/>
      <c r="I100" s="539">
        <v>0.11</v>
      </c>
      <c r="J100" s="539"/>
      <c r="K100" s="539">
        <v>0.11</v>
      </c>
      <c r="L100" s="539"/>
    </row>
    <row r="101" spans="2:12" ht="15" hidden="1" outlineLevel="1">
      <c r="B101" s="536"/>
      <c r="C101" s="530" t="s">
        <v>220</v>
      </c>
      <c r="D101" s="394"/>
      <c r="E101" s="541">
        <v>1484</v>
      </c>
      <c r="F101" s="533"/>
      <c r="G101" s="541"/>
      <c r="H101" s="542"/>
      <c r="I101" s="542">
        <v>0.2</v>
      </c>
      <c r="J101" s="542"/>
      <c r="K101" s="542">
        <v>0.19</v>
      </c>
      <c r="L101" s="542"/>
    </row>
    <row r="102" spans="2:12" ht="15" customHeight="1" collapsed="1">
      <c r="B102" s="632" t="s">
        <v>215</v>
      </c>
      <c r="C102" s="633"/>
      <c r="D102" s="227"/>
      <c r="E102" s="489">
        <v>37074</v>
      </c>
      <c r="F102" s="297"/>
      <c r="G102" s="489"/>
      <c r="H102" s="490"/>
      <c r="I102" s="490">
        <v>4.9800000000000004</v>
      </c>
      <c r="J102" s="490"/>
      <c r="K102" s="490">
        <v>4.78</v>
      </c>
      <c r="L102" s="490"/>
    </row>
    <row r="103" spans="2:12" ht="5.0999999999999996" customHeight="1">
      <c r="B103" s="254"/>
      <c r="C103" s="295"/>
      <c r="D103" s="227"/>
      <c r="E103" s="489"/>
      <c r="F103" s="297"/>
      <c r="G103" s="489"/>
      <c r="H103" s="490"/>
      <c r="I103" s="490"/>
      <c r="J103" s="490"/>
      <c r="K103" s="490"/>
      <c r="L103" s="490"/>
    </row>
    <row r="104" spans="2:12" ht="15" hidden="1" outlineLevel="1">
      <c r="B104" s="394"/>
      <c r="C104" s="530" t="s">
        <v>222</v>
      </c>
      <c r="D104" s="543"/>
      <c r="E104" s="532">
        <v>17566</v>
      </c>
      <c r="F104" s="540"/>
      <c r="G104" s="532"/>
      <c r="H104" s="529"/>
      <c r="I104" s="529">
        <v>2.36</v>
      </c>
      <c r="J104" s="529"/>
      <c r="K104" s="529">
        <v>2.2633700274753807</v>
      </c>
      <c r="L104" s="529"/>
    </row>
    <row r="105" spans="2:12" ht="15" hidden="1" outlineLevel="1">
      <c r="B105" s="394"/>
      <c r="C105" s="530" t="s">
        <v>223</v>
      </c>
      <c r="D105" s="543"/>
      <c r="E105" s="532">
        <v>12305</v>
      </c>
      <c r="F105" s="540"/>
      <c r="G105" s="532"/>
      <c r="H105" s="529"/>
      <c r="I105" s="529">
        <v>1.65</v>
      </c>
      <c r="J105" s="529"/>
      <c r="K105" s="529">
        <v>1.5854959972819076</v>
      </c>
      <c r="L105" s="529"/>
    </row>
    <row r="106" spans="2:12" ht="15" hidden="1" outlineLevel="1">
      <c r="B106" s="394"/>
      <c r="C106" s="530" t="s">
        <v>224</v>
      </c>
      <c r="D106" s="543"/>
      <c r="E106" s="532">
        <v>5658</v>
      </c>
      <c r="F106" s="540"/>
      <c r="G106" s="532"/>
      <c r="H106" s="529"/>
      <c r="I106" s="529">
        <v>0.76</v>
      </c>
      <c r="J106" s="529"/>
      <c r="K106" s="529">
        <v>0.72908729504274683</v>
      </c>
      <c r="L106" s="529"/>
    </row>
    <row r="107" spans="2:12" ht="15" hidden="1" outlineLevel="1">
      <c r="B107" s="394"/>
      <c r="C107" s="530" t="s">
        <v>39</v>
      </c>
      <c r="D107" s="543"/>
      <c r="E107" s="532">
        <v>939</v>
      </c>
      <c r="F107" s="540"/>
      <c r="G107" s="532"/>
      <c r="H107" s="529"/>
      <c r="I107" s="529">
        <v>0.13</v>
      </c>
      <c r="J107" s="529"/>
      <c r="K107" s="529">
        <v>0.12103851945359693</v>
      </c>
      <c r="L107" s="529"/>
    </row>
    <row r="108" spans="2:12" ht="15" hidden="1" outlineLevel="1">
      <c r="B108" s="394"/>
      <c r="C108" s="530" t="s">
        <v>225</v>
      </c>
      <c r="D108" s="543"/>
      <c r="E108" s="532">
        <v>628</v>
      </c>
      <c r="F108" s="540"/>
      <c r="G108" s="532"/>
      <c r="H108" s="529"/>
      <c r="I108" s="529">
        <v>0.08</v>
      </c>
      <c r="J108" s="529"/>
      <c r="K108" s="529">
        <v>8.086270072799745E-2</v>
      </c>
      <c r="L108" s="529"/>
    </row>
    <row r="109" spans="2:12" ht="15" hidden="1" outlineLevel="1">
      <c r="B109" s="394"/>
      <c r="C109" s="530" t="s">
        <v>309</v>
      </c>
      <c r="D109" s="543"/>
      <c r="E109" s="532">
        <v>1051</v>
      </c>
      <c r="F109" s="540"/>
      <c r="G109" s="532"/>
      <c r="H109" s="529"/>
      <c r="I109" s="529">
        <v>0.14000000000000001</v>
      </c>
      <c r="J109" s="529"/>
      <c r="K109" s="529">
        <v>0.13538637108814744</v>
      </c>
      <c r="L109" s="529"/>
    </row>
    <row r="110" spans="2:12" ht="15" customHeight="1" collapsed="1">
      <c r="B110" s="632" t="s">
        <v>221</v>
      </c>
      <c r="C110" s="633"/>
      <c r="D110" s="227"/>
      <c r="E110" s="282">
        <v>38146</v>
      </c>
      <c r="F110" s="297"/>
      <c r="G110" s="282"/>
      <c r="H110" s="296"/>
      <c r="I110" s="296">
        <v>5.13</v>
      </c>
      <c r="J110" s="296"/>
      <c r="K110" s="296">
        <v>4.9152409110697768</v>
      </c>
      <c r="L110" s="296"/>
    </row>
    <row r="111" spans="2:12" ht="5.0999999999999996" customHeight="1">
      <c r="B111" s="536"/>
      <c r="C111" s="544"/>
      <c r="D111" s="545"/>
      <c r="E111" s="489"/>
      <c r="F111" s="546"/>
      <c r="G111" s="489"/>
      <c r="H111" s="490"/>
      <c r="I111" s="490"/>
      <c r="J111" s="490"/>
      <c r="K111" s="490"/>
      <c r="L111" s="490"/>
    </row>
    <row r="112" spans="2:12" ht="15" hidden="1" outlineLevel="1">
      <c r="B112" s="394"/>
      <c r="C112" s="530" t="s">
        <v>125</v>
      </c>
      <c r="D112" s="531"/>
      <c r="E112" s="532">
        <v>7482</v>
      </c>
      <c r="F112" s="533"/>
      <c r="G112" s="532"/>
      <c r="H112" s="529"/>
      <c r="I112" s="529">
        <v>1.01</v>
      </c>
      <c r="J112" s="529"/>
      <c r="K112" s="529">
        <v>0.96406228659605508</v>
      </c>
      <c r="L112" s="529"/>
    </row>
    <row r="113" spans="2:12" ht="15" hidden="1" outlineLevel="1">
      <c r="B113" s="394"/>
      <c r="C113" s="530" t="s">
        <v>126</v>
      </c>
      <c r="D113" s="531"/>
      <c r="E113" s="532">
        <v>4456</v>
      </c>
      <c r="F113" s="533"/>
      <c r="G113" s="532"/>
      <c r="H113" s="529"/>
      <c r="I113" s="529">
        <v>0.6</v>
      </c>
      <c r="J113" s="529"/>
      <c r="K113" s="529">
        <v>0.5741429515759926</v>
      </c>
      <c r="L113" s="529"/>
    </row>
    <row r="114" spans="2:12" ht="15" hidden="1" outlineLevel="1">
      <c r="B114" s="394"/>
      <c r="C114" s="530" t="s">
        <v>40</v>
      </c>
      <c r="D114" s="531"/>
      <c r="E114" s="532">
        <v>4985</v>
      </c>
      <c r="F114" s="533"/>
      <c r="G114" s="532"/>
      <c r="H114" s="529"/>
      <c r="I114" s="529">
        <v>0.67</v>
      </c>
      <c r="J114" s="529"/>
      <c r="K114" s="529">
        <v>0.64231162291620825</v>
      </c>
      <c r="L114" s="529"/>
    </row>
    <row r="115" spans="2:12" ht="15" collapsed="1">
      <c r="B115" s="632" t="s">
        <v>17</v>
      </c>
      <c r="C115" s="633"/>
      <c r="D115" s="394"/>
      <c r="E115" s="282">
        <v>16923</v>
      </c>
      <c r="F115" s="534"/>
      <c r="G115" s="282"/>
      <c r="H115" s="296"/>
      <c r="I115" s="296">
        <v>2.27</v>
      </c>
      <c r="J115" s="296"/>
      <c r="K115" s="296">
        <v>2.1805168610882557</v>
      </c>
      <c r="L115" s="296"/>
    </row>
    <row r="116" spans="2:12" ht="5.0999999999999996" customHeight="1">
      <c r="B116" s="536"/>
      <c r="C116" s="395"/>
      <c r="D116" s="394"/>
      <c r="E116" s="489"/>
      <c r="F116" s="534"/>
      <c r="G116" s="489"/>
      <c r="H116" s="490"/>
      <c r="I116" s="490"/>
      <c r="J116" s="490"/>
      <c r="K116" s="490"/>
      <c r="L116" s="490"/>
    </row>
    <row r="117" spans="2:12" ht="15" customHeight="1">
      <c r="B117" s="632" t="s">
        <v>16</v>
      </c>
      <c r="C117" s="633"/>
      <c r="D117" s="394"/>
      <c r="E117" s="282">
        <v>25569</v>
      </c>
      <c r="F117" s="534"/>
      <c r="G117" s="282"/>
      <c r="H117" s="296"/>
      <c r="I117" s="296">
        <v>3.44</v>
      </c>
      <c r="J117" s="296"/>
      <c r="K117" s="296">
        <v>3.29</v>
      </c>
      <c r="L117" s="296"/>
    </row>
    <row r="118" spans="2:12" ht="5.0999999999999996" customHeight="1">
      <c r="B118" s="536"/>
      <c r="C118" s="395"/>
      <c r="D118" s="394"/>
      <c r="E118" s="489"/>
      <c r="F118" s="534"/>
      <c r="G118" s="489"/>
      <c r="H118" s="490"/>
      <c r="I118" s="490"/>
      <c r="J118" s="490"/>
      <c r="K118" s="490"/>
      <c r="L118" s="490"/>
    </row>
    <row r="119" spans="2:12" ht="15" customHeight="1">
      <c r="B119" s="632" t="s">
        <v>18</v>
      </c>
      <c r="C119" s="633"/>
      <c r="D119" s="394"/>
      <c r="E119" s="282">
        <v>25203</v>
      </c>
      <c r="F119" s="534"/>
      <c r="G119" s="282"/>
      <c r="H119" s="296"/>
      <c r="I119" s="296">
        <v>3.39</v>
      </c>
      <c r="J119" s="296"/>
      <c r="K119" s="296">
        <v>3.25</v>
      </c>
      <c r="L119" s="296"/>
    </row>
    <row r="120" spans="2:12" ht="5.0999999999999996" customHeight="1">
      <c r="B120" s="536"/>
      <c r="C120" s="395"/>
      <c r="D120" s="394"/>
      <c r="E120" s="489"/>
      <c r="F120" s="534"/>
      <c r="G120" s="489"/>
      <c r="H120" s="490"/>
      <c r="I120" s="490"/>
      <c r="J120" s="490"/>
      <c r="K120" s="490"/>
      <c r="L120" s="490"/>
    </row>
    <row r="121" spans="2:12" ht="15" hidden="1" outlineLevel="1">
      <c r="B121" s="394"/>
      <c r="C121" s="530" t="s">
        <v>229</v>
      </c>
      <c r="D121" s="531"/>
      <c r="E121" s="532">
        <v>15338</v>
      </c>
      <c r="F121" s="533"/>
      <c r="G121" s="532"/>
      <c r="H121" s="529"/>
      <c r="I121" s="529">
        <v>2.06</v>
      </c>
      <c r="J121" s="529"/>
      <c r="K121" s="529">
        <v>1.98</v>
      </c>
      <c r="L121" s="529"/>
    </row>
    <row r="122" spans="2:12" ht="15" hidden="1" outlineLevel="1">
      <c r="B122" s="394"/>
      <c r="C122" s="530" t="s">
        <v>310</v>
      </c>
      <c r="D122" s="531"/>
      <c r="E122" s="532">
        <v>5766</v>
      </c>
      <c r="F122" s="533"/>
      <c r="G122" s="532"/>
      <c r="H122" s="529"/>
      <c r="I122" s="529">
        <v>0.77</v>
      </c>
      <c r="J122" s="529"/>
      <c r="K122" s="529">
        <v>0.74</v>
      </c>
      <c r="L122" s="529"/>
    </row>
    <row r="123" spans="2:12" ht="15" collapsed="1">
      <c r="B123" s="632" t="s">
        <v>228</v>
      </c>
      <c r="C123" s="633"/>
      <c r="D123" s="394"/>
      <c r="E123" s="282">
        <v>21104</v>
      </c>
      <c r="F123" s="534"/>
      <c r="G123" s="282"/>
      <c r="H123" s="296"/>
      <c r="I123" s="296">
        <v>2.84</v>
      </c>
      <c r="J123" s="296"/>
      <c r="K123" s="296">
        <v>2.72</v>
      </c>
      <c r="L123" s="296"/>
    </row>
    <row r="124" spans="2:12" ht="5.0999999999999996" customHeight="1">
      <c r="B124" s="536"/>
      <c r="C124" s="395"/>
      <c r="D124" s="394"/>
      <c r="E124" s="282"/>
      <c r="F124" s="534"/>
      <c r="G124" s="282"/>
      <c r="H124" s="296"/>
      <c r="I124" s="296"/>
      <c r="J124" s="296"/>
      <c r="K124" s="296"/>
      <c r="L124" s="296"/>
    </row>
    <row r="125" spans="2:12" ht="15" hidden="1" outlineLevel="1">
      <c r="B125" s="394"/>
      <c r="C125" s="530" t="s">
        <v>311</v>
      </c>
      <c r="D125" s="531"/>
      <c r="E125" s="532">
        <v>31884</v>
      </c>
      <c r="F125" s="533"/>
      <c r="G125" s="532"/>
      <c r="H125" s="529"/>
      <c r="I125" s="529">
        <v>4.28</v>
      </c>
      <c r="J125" s="529"/>
      <c r="K125" s="529">
        <v>4.1100000000000003</v>
      </c>
      <c r="L125" s="529"/>
    </row>
    <row r="126" spans="2:12" ht="15" hidden="1" outlineLevel="1">
      <c r="B126" s="394"/>
      <c r="C126" s="530" t="s">
        <v>312</v>
      </c>
      <c r="D126" s="531"/>
      <c r="E126" s="532">
        <v>5896</v>
      </c>
      <c r="F126" s="533"/>
      <c r="G126" s="532"/>
      <c r="H126" s="529"/>
      <c r="I126" s="529">
        <v>0.79</v>
      </c>
      <c r="J126" s="529"/>
      <c r="K126" s="529">
        <v>0.76</v>
      </c>
      <c r="L126" s="529"/>
    </row>
    <row r="127" spans="2:12" ht="15" hidden="1" outlineLevel="1">
      <c r="B127" s="394"/>
      <c r="C127" s="530" t="s">
        <v>233</v>
      </c>
      <c r="D127" s="531"/>
      <c r="E127" s="532">
        <v>10413</v>
      </c>
      <c r="F127" s="533"/>
      <c r="G127" s="532"/>
      <c r="H127" s="529"/>
      <c r="I127" s="529">
        <v>1.4</v>
      </c>
      <c r="J127" s="529"/>
      <c r="K127" s="529">
        <v>1.34</v>
      </c>
      <c r="L127" s="529"/>
    </row>
    <row r="128" spans="2:12" ht="15" hidden="1" outlineLevel="1">
      <c r="B128" s="394"/>
      <c r="C128" s="530" t="s">
        <v>301</v>
      </c>
      <c r="D128" s="531"/>
      <c r="E128" s="532">
        <v>6645</v>
      </c>
      <c r="F128" s="533"/>
      <c r="G128" s="532"/>
      <c r="H128" s="529"/>
      <c r="I128" s="529">
        <v>0.89</v>
      </c>
      <c r="J128" s="529"/>
      <c r="K128" s="529">
        <v>0.86</v>
      </c>
      <c r="L128" s="529"/>
    </row>
    <row r="129" spans="2:12" ht="15" customHeight="1" collapsed="1">
      <c r="B129" s="632" t="s">
        <v>19</v>
      </c>
      <c r="C129" s="633"/>
      <c r="D129" s="394"/>
      <c r="E129" s="282">
        <v>54838</v>
      </c>
      <c r="F129" s="534"/>
      <c r="G129" s="282"/>
      <c r="H129" s="296"/>
      <c r="I129" s="296">
        <v>7.37</v>
      </c>
      <c r="J129" s="296"/>
      <c r="K129" s="296">
        <v>7.07</v>
      </c>
      <c r="L129" s="296"/>
    </row>
    <row r="130" spans="2:12" ht="5.0999999999999996" customHeight="1">
      <c r="B130" s="536"/>
      <c r="C130" s="395"/>
      <c r="D130" s="394"/>
      <c r="E130" s="282"/>
      <c r="F130" s="534"/>
      <c r="G130" s="282"/>
      <c r="H130" s="296"/>
      <c r="I130" s="296"/>
      <c r="J130" s="296"/>
      <c r="K130" s="296"/>
      <c r="L130" s="296"/>
    </row>
    <row r="131" spans="2:12" ht="15" hidden="1" outlineLevel="1">
      <c r="B131" s="394"/>
      <c r="C131" s="530" t="s">
        <v>109</v>
      </c>
      <c r="D131" s="531"/>
      <c r="E131" s="532">
        <v>4900</v>
      </c>
      <c r="F131" s="533"/>
      <c r="G131" s="532"/>
      <c r="H131" s="529"/>
      <c r="I131" s="529">
        <v>0.66</v>
      </c>
      <c r="J131" s="529"/>
      <c r="K131" s="529">
        <v>0.63</v>
      </c>
      <c r="L131" s="529"/>
    </row>
    <row r="132" spans="2:12" ht="15" hidden="1" outlineLevel="1">
      <c r="B132" s="394"/>
      <c r="C132" s="530" t="s">
        <v>48</v>
      </c>
      <c r="D132" s="531"/>
      <c r="E132" s="532">
        <v>5962</v>
      </c>
      <c r="F132" s="533"/>
      <c r="G132" s="532"/>
      <c r="H132" s="529"/>
      <c r="I132" s="529">
        <v>0.8</v>
      </c>
      <c r="J132" s="529"/>
      <c r="K132" s="529">
        <v>0.77</v>
      </c>
      <c r="L132" s="529"/>
    </row>
    <row r="133" spans="2:12" ht="15" hidden="1" outlineLevel="1">
      <c r="B133" s="394"/>
      <c r="C133" s="530" t="s">
        <v>313</v>
      </c>
      <c r="D133" s="531"/>
      <c r="E133" s="532">
        <v>1902</v>
      </c>
      <c r="F133" s="533"/>
      <c r="G133" s="532"/>
      <c r="H133" s="529"/>
      <c r="I133" s="529">
        <v>0.26</v>
      </c>
      <c r="J133" s="529"/>
      <c r="K133" s="529">
        <v>0.25</v>
      </c>
      <c r="L133" s="529"/>
    </row>
    <row r="134" spans="2:12" ht="15" customHeight="1" collapsed="1">
      <c r="B134" s="632" t="s">
        <v>20</v>
      </c>
      <c r="C134" s="633"/>
      <c r="D134" s="394"/>
      <c r="E134" s="282">
        <v>12763</v>
      </c>
      <c r="F134" s="534"/>
      <c r="G134" s="282"/>
      <c r="H134" s="296"/>
      <c r="I134" s="296">
        <v>1.72</v>
      </c>
      <c r="J134" s="296"/>
      <c r="K134" s="296">
        <v>1.64</v>
      </c>
      <c r="L134" s="296"/>
    </row>
    <row r="135" spans="2:12" ht="5.0999999999999996" customHeight="1">
      <c r="B135" s="536"/>
      <c r="C135" s="395"/>
      <c r="D135" s="394"/>
      <c r="E135" s="282"/>
      <c r="F135" s="534"/>
      <c r="G135" s="282"/>
      <c r="H135" s="296"/>
      <c r="I135" s="296"/>
      <c r="J135" s="296"/>
      <c r="K135" s="296"/>
      <c r="L135" s="296"/>
    </row>
    <row r="136" spans="2:12" ht="15" hidden="1" customHeight="1" outlineLevel="1">
      <c r="B136" s="394"/>
      <c r="C136" s="535" t="s">
        <v>314</v>
      </c>
      <c r="D136" s="531"/>
      <c r="E136" s="532">
        <v>12575</v>
      </c>
      <c r="F136" s="533"/>
      <c r="G136" s="532"/>
      <c r="H136" s="529"/>
      <c r="I136" s="529">
        <v>1.69</v>
      </c>
      <c r="J136" s="529"/>
      <c r="K136" s="529">
        <v>1.62</v>
      </c>
      <c r="L136" s="529"/>
    </row>
    <row r="137" spans="2:12" ht="15" hidden="1" customHeight="1" outlineLevel="1">
      <c r="B137" s="394"/>
      <c r="C137" s="530" t="s">
        <v>238</v>
      </c>
      <c r="D137" s="531"/>
      <c r="E137" s="532">
        <v>22817</v>
      </c>
      <c r="F137" s="533"/>
      <c r="G137" s="532"/>
      <c r="H137" s="529"/>
      <c r="I137" s="529">
        <v>3.07</v>
      </c>
      <c r="J137" s="529"/>
      <c r="K137" s="529">
        <v>2.94</v>
      </c>
      <c r="L137" s="529"/>
    </row>
    <row r="138" spans="2:12" ht="15" customHeight="1" collapsed="1">
      <c r="B138" s="632" t="s">
        <v>22</v>
      </c>
      <c r="C138" s="633"/>
      <c r="D138" s="394"/>
      <c r="E138" s="282">
        <v>35392</v>
      </c>
      <c r="F138" s="534"/>
      <c r="G138" s="282"/>
      <c r="H138" s="296"/>
      <c r="I138" s="296">
        <v>4.76</v>
      </c>
      <c r="J138" s="296"/>
      <c r="K138" s="296">
        <v>4.5599999999999996</v>
      </c>
      <c r="L138" s="296"/>
    </row>
    <row r="139" spans="2:12" ht="5.0999999999999996" customHeight="1">
      <c r="B139" s="254"/>
      <c r="C139" s="295"/>
      <c r="D139" s="227"/>
      <c r="E139" s="489"/>
      <c r="F139" s="297"/>
      <c r="G139" s="489"/>
      <c r="H139" s="490"/>
      <c r="I139" s="490"/>
      <c r="J139" s="490"/>
      <c r="K139" s="490"/>
      <c r="L139" s="490"/>
    </row>
    <row r="140" spans="2:12" ht="15" hidden="1" customHeight="1" outlineLevel="1">
      <c r="B140" s="394"/>
      <c r="C140" s="530" t="s">
        <v>239</v>
      </c>
      <c r="D140" s="543"/>
      <c r="E140" s="532">
        <v>44</v>
      </c>
      <c r="F140" s="540"/>
      <c r="G140" s="532"/>
      <c r="H140" s="529"/>
      <c r="I140" s="529">
        <v>0.01</v>
      </c>
      <c r="J140" s="529"/>
      <c r="K140" s="529">
        <v>0.01</v>
      </c>
      <c r="L140" s="529"/>
    </row>
    <row r="141" spans="2:12" ht="15" hidden="1" customHeight="1" outlineLevel="1">
      <c r="B141" s="394"/>
      <c r="C141" s="530" t="s">
        <v>315</v>
      </c>
      <c r="D141" s="543"/>
      <c r="E141" s="532">
        <v>490</v>
      </c>
      <c r="F141" s="540"/>
      <c r="G141" s="532"/>
      <c r="H141" s="529"/>
      <c r="I141" s="529">
        <v>7.0000000000000007E-2</v>
      </c>
      <c r="J141" s="529"/>
      <c r="K141" s="529">
        <v>0.06</v>
      </c>
      <c r="L141" s="529"/>
    </row>
    <row r="142" spans="2:12" ht="15" hidden="1" customHeight="1" outlineLevel="1">
      <c r="B142" s="394"/>
      <c r="C142" s="530" t="s">
        <v>316</v>
      </c>
      <c r="D142" s="543"/>
      <c r="E142" s="532">
        <v>272</v>
      </c>
      <c r="F142" s="540"/>
      <c r="G142" s="532"/>
      <c r="H142" s="529"/>
      <c r="I142" s="529">
        <v>0.04</v>
      </c>
      <c r="J142" s="529"/>
      <c r="K142" s="529">
        <v>0.04</v>
      </c>
      <c r="L142" s="529"/>
    </row>
    <row r="143" spans="2:12" ht="15" hidden="1" customHeight="1" outlineLevel="1">
      <c r="B143" s="394"/>
      <c r="C143" s="530" t="s">
        <v>242</v>
      </c>
      <c r="D143" s="543"/>
      <c r="E143" s="532">
        <v>167</v>
      </c>
      <c r="F143" s="540"/>
      <c r="G143" s="532"/>
      <c r="H143" s="529"/>
      <c r="I143" s="529">
        <v>0.02</v>
      </c>
      <c r="J143" s="529"/>
      <c r="K143" s="529">
        <v>0.02</v>
      </c>
      <c r="L143" s="529"/>
    </row>
    <row r="144" spans="2:12" ht="15" hidden="1" customHeight="1" outlineLevel="1">
      <c r="B144" s="394"/>
      <c r="C144" s="530" t="s">
        <v>243</v>
      </c>
      <c r="D144" s="543"/>
      <c r="E144" s="532">
        <v>11</v>
      </c>
      <c r="F144" s="540"/>
      <c r="G144" s="532"/>
      <c r="H144" s="529"/>
      <c r="I144" s="529">
        <v>0</v>
      </c>
      <c r="J144" s="529"/>
      <c r="K144" s="529">
        <v>0</v>
      </c>
      <c r="L144" s="529"/>
    </row>
    <row r="145" spans="2:12" ht="15" hidden="1" customHeight="1" outlineLevel="1">
      <c r="B145" s="394"/>
      <c r="C145" s="530" t="s">
        <v>244</v>
      </c>
      <c r="D145" s="543"/>
      <c r="E145" s="532">
        <v>1063</v>
      </c>
      <c r="F145" s="540"/>
      <c r="G145" s="532"/>
      <c r="H145" s="529"/>
      <c r="I145" s="529">
        <v>0.14000000000000001</v>
      </c>
      <c r="J145" s="529"/>
      <c r="K145" s="529">
        <v>0.14000000000000001</v>
      </c>
      <c r="L145" s="529"/>
    </row>
    <row r="146" spans="2:12" ht="15" hidden="1" customHeight="1" outlineLevel="1">
      <c r="B146" s="394"/>
      <c r="C146" s="530" t="s">
        <v>245</v>
      </c>
      <c r="D146" s="543"/>
      <c r="E146" s="532">
        <v>861</v>
      </c>
      <c r="F146" s="540"/>
      <c r="G146" s="532"/>
      <c r="H146" s="529"/>
      <c r="I146" s="529">
        <v>0.12</v>
      </c>
      <c r="J146" s="529"/>
      <c r="K146" s="529">
        <v>0.11</v>
      </c>
      <c r="L146" s="529"/>
    </row>
    <row r="147" spans="2:12" ht="15" hidden="1" customHeight="1" outlineLevel="1">
      <c r="B147" s="394"/>
      <c r="C147" s="530" t="s">
        <v>46</v>
      </c>
      <c r="D147" s="543"/>
      <c r="E147" s="532">
        <v>159</v>
      </c>
      <c r="F147" s="540"/>
      <c r="G147" s="532"/>
      <c r="H147" s="529"/>
      <c r="I147" s="529">
        <v>0.02</v>
      </c>
      <c r="J147" s="529"/>
      <c r="K147" s="529">
        <v>0.02</v>
      </c>
      <c r="L147" s="529"/>
    </row>
    <row r="148" spans="2:12" ht="15" customHeight="1" collapsed="1">
      <c r="B148" s="632" t="s">
        <v>23</v>
      </c>
      <c r="C148" s="633"/>
      <c r="D148" s="227"/>
      <c r="E148" s="282">
        <v>3068</v>
      </c>
      <c r="F148" s="297"/>
      <c r="G148" s="282"/>
      <c r="H148" s="296"/>
      <c r="I148" s="296">
        <v>0.41</v>
      </c>
      <c r="J148" s="296"/>
      <c r="K148" s="296">
        <v>0.39</v>
      </c>
      <c r="L148" s="296"/>
    </row>
    <row r="149" spans="2:12" ht="5.0999999999999996" customHeight="1">
      <c r="B149" s="254"/>
      <c r="C149" s="295"/>
      <c r="D149" s="227"/>
      <c r="E149" s="547"/>
      <c r="F149" s="297"/>
      <c r="G149" s="547"/>
      <c r="H149" s="548"/>
      <c r="I149" s="548"/>
      <c r="J149" s="548"/>
      <c r="K149" s="548"/>
      <c r="L149" s="548"/>
    </row>
    <row r="150" spans="2:12" ht="15" hidden="1" outlineLevel="1">
      <c r="B150" s="394"/>
      <c r="C150" s="530" t="s">
        <v>127</v>
      </c>
      <c r="D150" s="543"/>
      <c r="E150" s="532">
        <v>6164</v>
      </c>
      <c r="F150" s="540"/>
      <c r="G150" s="532"/>
      <c r="H150" s="529"/>
      <c r="I150" s="529">
        <v>0.83</v>
      </c>
      <c r="J150" s="529"/>
      <c r="K150" s="529">
        <v>0.79</v>
      </c>
      <c r="L150" s="529"/>
    </row>
    <row r="151" spans="2:12" ht="15" hidden="1" outlineLevel="1">
      <c r="B151" s="394"/>
      <c r="C151" s="530" t="s">
        <v>128</v>
      </c>
      <c r="D151" s="543"/>
      <c r="E151" s="532">
        <v>2310</v>
      </c>
      <c r="F151" s="540"/>
      <c r="G151" s="532"/>
      <c r="H151" s="529"/>
      <c r="I151" s="529">
        <v>0.31</v>
      </c>
      <c r="J151" s="529"/>
      <c r="K151" s="529">
        <v>0.3</v>
      </c>
      <c r="L151" s="529"/>
    </row>
    <row r="152" spans="2:12" ht="15" customHeight="1" collapsed="1">
      <c r="B152" s="632" t="s">
        <v>24</v>
      </c>
      <c r="C152" s="633"/>
      <c r="D152" s="227"/>
      <c r="E152" s="282">
        <v>8474</v>
      </c>
      <c r="F152" s="297"/>
      <c r="G152" s="282"/>
      <c r="H152" s="296"/>
      <c r="I152" s="296">
        <v>1.1399999999999999</v>
      </c>
      <c r="J152" s="296"/>
      <c r="K152" s="296">
        <v>1.0900000000000001</v>
      </c>
      <c r="L152" s="296"/>
    </row>
    <row r="153" spans="2:12" ht="5.0999999999999996" customHeight="1">
      <c r="B153" s="277"/>
      <c r="C153" s="549"/>
      <c r="D153" s="277"/>
      <c r="E153" s="550"/>
      <c r="F153" s="500"/>
      <c r="G153" s="550"/>
      <c r="H153" s="551"/>
      <c r="I153" s="551"/>
      <c r="J153" s="551"/>
      <c r="K153" s="551"/>
      <c r="L153" s="551"/>
    </row>
    <row r="154" spans="2:12" ht="25.5" customHeight="1">
      <c r="B154" s="634" t="s">
        <v>129</v>
      </c>
      <c r="C154" s="634"/>
      <c r="D154" s="308"/>
      <c r="E154" s="552">
        <v>1284798</v>
      </c>
      <c r="F154" s="553"/>
      <c r="G154" s="552"/>
      <c r="H154" s="554"/>
      <c r="I154" s="554">
        <v>172.66</v>
      </c>
      <c r="J154" s="554"/>
      <c r="K154" s="554">
        <v>165.55</v>
      </c>
      <c r="L154" s="554"/>
    </row>
    <row r="155" spans="2:12" ht="5.0999999999999996" customHeight="1">
      <c r="B155" s="230"/>
      <c r="C155" s="230"/>
      <c r="D155" s="227"/>
      <c r="E155" s="269"/>
      <c r="F155" s="297"/>
      <c r="G155" s="269"/>
      <c r="H155" s="310"/>
      <c r="I155" s="310"/>
      <c r="J155" s="310"/>
      <c r="K155" s="310"/>
      <c r="L155" s="310"/>
    </row>
    <row r="156" spans="2:12" ht="15">
      <c r="B156" s="555" t="s">
        <v>130</v>
      </c>
      <c r="C156" s="516"/>
      <c r="D156" s="556"/>
      <c r="E156" s="557"/>
      <c r="F156" s="558"/>
      <c r="G156" s="557"/>
      <c r="H156" s="559"/>
      <c r="I156" s="559"/>
      <c r="J156" s="559"/>
      <c r="K156" s="559"/>
      <c r="L156" s="559"/>
    </row>
    <row r="157" spans="2:12" ht="5.0999999999999996" customHeight="1">
      <c r="B157" s="230"/>
      <c r="C157" s="295"/>
      <c r="D157" s="227"/>
      <c r="E157" s="269"/>
      <c r="F157" s="297"/>
      <c r="G157" s="269"/>
      <c r="H157" s="310"/>
      <c r="I157" s="310"/>
      <c r="J157" s="310"/>
      <c r="K157" s="310"/>
      <c r="L157" s="310"/>
    </row>
    <row r="158" spans="2:12" ht="15" hidden="1" outlineLevel="1">
      <c r="B158" s="394"/>
      <c r="C158" s="535" t="s">
        <v>131</v>
      </c>
      <c r="D158" s="543"/>
      <c r="E158" s="532">
        <v>34676</v>
      </c>
      <c r="F158" s="540"/>
      <c r="G158" s="532"/>
      <c r="H158" s="529"/>
      <c r="I158" s="529">
        <v>4.66</v>
      </c>
      <c r="J158" s="529"/>
      <c r="K158" s="529">
        <v>4.47</v>
      </c>
      <c r="L158" s="529"/>
    </row>
    <row r="159" spans="2:12" ht="15" hidden="1" customHeight="1" outlineLevel="1">
      <c r="B159" s="394"/>
      <c r="C159" s="535" t="s">
        <v>109</v>
      </c>
      <c r="D159" s="543"/>
      <c r="E159" s="532">
        <v>2795</v>
      </c>
      <c r="F159" s="540"/>
      <c r="G159" s="532"/>
      <c r="H159" s="529"/>
      <c r="I159" s="529">
        <v>0.38</v>
      </c>
      <c r="J159" s="529"/>
      <c r="K159" s="529">
        <v>0.36</v>
      </c>
      <c r="L159" s="529"/>
    </row>
    <row r="160" spans="2:12" ht="15" customHeight="1" collapsed="1">
      <c r="B160" s="632" t="s">
        <v>246</v>
      </c>
      <c r="C160" s="633"/>
      <c r="D160" s="227"/>
      <c r="E160" s="282">
        <v>37471</v>
      </c>
      <c r="F160" s="297"/>
      <c r="G160" s="282"/>
      <c r="H160" s="296"/>
      <c r="I160" s="296">
        <v>5.04</v>
      </c>
      <c r="J160" s="296"/>
      <c r="K160" s="296">
        <v>4.83</v>
      </c>
      <c r="L160" s="296"/>
    </row>
    <row r="161" spans="2:12" ht="5.0999999999999996" customHeight="1">
      <c r="B161" s="230"/>
      <c r="C161" s="295"/>
      <c r="D161" s="227"/>
      <c r="E161" s="269"/>
      <c r="F161" s="297"/>
      <c r="G161" s="269"/>
      <c r="H161" s="310"/>
      <c r="I161" s="310"/>
      <c r="J161" s="310"/>
      <c r="K161" s="310"/>
      <c r="L161" s="310"/>
    </row>
    <row r="162" spans="2:12" ht="15" hidden="1" outlineLevel="1">
      <c r="B162" s="230"/>
      <c r="C162" s="530" t="s">
        <v>132</v>
      </c>
      <c r="D162" s="543"/>
      <c r="E162" s="532">
        <v>19835</v>
      </c>
      <c r="F162" s="540"/>
      <c r="G162" s="532"/>
      <c r="H162" s="529"/>
      <c r="I162" s="529">
        <v>2.67</v>
      </c>
      <c r="J162" s="529"/>
      <c r="K162" s="529">
        <v>2.56</v>
      </c>
      <c r="L162" s="529"/>
    </row>
    <row r="163" spans="2:12" ht="15" hidden="1" outlineLevel="1">
      <c r="B163" s="230"/>
      <c r="C163" s="530" t="s">
        <v>133</v>
      </c>
      <c r="D163" s="543"/>
      <c r="E163" s="532">
        <v>1259</v>
      </c>
      <c r="F163" s="540"/>
      <c r="G163" s="532"/>
      <c r="H163" s="529"/>
      <c r="I163" s="529">
        <v>0.17</v>
      </c>
      <c r="J163" s="529"/>
      <c r="K163" s="529">
        <v>0.16</v>
      </c>
      <c r="L163" s="529"/>
    </row>
    <row r="164" spans="2:12" ht="15" collapsed="1">
      <c r="B164" s="230" t="s">
        <v>49</v>
      </c>
      <c r="C164" s="295"/>
      <c r="D164" s="227"/>
      <c r="E164" s="282">
        <v>21095</v>
      </c>
      <c r="F164" s="297"/>
      <c r="G164" s="282"/>
      <c r="H164" s="296"/>
      <c r="I164" s="296">
        <v>2.83</v>
      </c>
      <c r="J164" s="296"/>
      <c r="K164" s="296">
        <v>2.72</v>
      </c>
      <c r="L164" s="296"/>
    </row>
    <row r="165" spans="2:12" ht="5.0999999999999996" customHeight="1">
      <c r="B165" s="230"/>
      <c r="C165" s="295"/>
      <c r="D165" s="227"/>
      <c r="E165" s="282"/>
      <c r="F165" s="297"/>
      <c r="G165" s="282"/>
      <c r="H165" s="296"/>
      <c r="I165" s="296"/>
      <c r="J165" s="296"/>
      <c r="K165" s="296"/>
      <c r="L165" s="296"/>
    </row>
    <row r="166" spans="2:12" ht="15" hidden="1" outlineLevel="1">
      <c r="B166" s="230"/>
      <c r="C166" s="530" t="s">
        <v>53</v>
      </c>
      <c r="D166" s="543"/>
      <c r="E166" s="532">
        <v>14781</v>
      </c>
      <c r="F166" s="540"/>
      <c r="G166" s="532"/>
      <c r="H166" s="529"/>
      <c r="I166" s="529">
        <v>1.99</v>
      </c>
      <c r="J166" s="529"/>
      <c r="K166" s="529">
        <v>1.9</v>
      </c>
      <c r="L166" s="529"/>
    </row>
    <row r="167" spans="2:12" ht="15" hidden="1" outlineLevel="1">
      <c r="B167" s="230"/>
      <c r="C167" s="530" t="s">
        <v>54</v>
      </c>
      <c r="D167" s="543"/>
      <c r="E167" s="532">
        <v>-9582</v>
      </c>
      <c r="F167" s="540"/>
      <c r="G167" s="532"/>
      <c r="H167" s="529"/>
      <c r="I167" s="529">
        <v>-1.29</v>
      </c>
      <c r="J167" s="529"/>
      <c r="K167" s="529">
        <v>-1.23</v>
      </c>
      <c r="L167" s="529"/>
    </row>
    <row r="168" spans="2:12" ht="15" collapsed="1">
      <c r="B168" s="230" t="s">
        <v>28</v>
      </c>
      <c r="C168" s="295"/>
      <c r="D168" s="227"/>
      <c r="E168" s="282">
        <v>5199</v>
      </c>
      <c r="F168" s="297"/>
      <c r="G168" s="282"/>
      <c r="H168" s="296"/>
      <c r="I168" s="296">
        <v>0.7</v>
      </c>
      <c r="J168" s="296"/>
      <c r="K168" s="296">
        <v>0.67</v>
      </c>
      <c r="L168" s="296"/>
    </row>
    <row r="169" spans="2:12" ht="5.0999999999999996" customHeight="1">
      <c r="B169" s="230"/>
      <c r="C169" s="295"/>
      <c r="D169" s="227"/>
      <c r="E169" s="325"/>
      <c r="F169" s="297"/>
      <c r="G169" s="325"/>
      <c r="H169" s="321"/>
      <c r="I169" s="321"/>
      <c r="J169" s="321"/>
      <c r="K169" s="321"/>
      <c r="L169" s="321"/>
    </row>
    <row r="170" spans="2:12" ht="15">
      <c r="B170" s="230" t="s">
        <v>29</v>
      </c>
      <c r="C170" s="295"/>
      <c r="D170" s="227"/>
      <c r="E170" s="282">
        <v>18566</v>
      </c>
      <c r="F170" s="297"/>
      <c r="G170" s="282"/>
      <c r="H170" s="296"/>
      <c r="I170" s="296">
        <v>2.4900000000000002</v>
      </c>
      <c r="J170" s="296"/>
      <c r="K170" s="296">
        <v>2.39</v>
      </c>
      <c r="L170" s="296"/>
    </row>
    <row r="171" spans="2:12" ht="5.0999999999999996" customHeight="1">
      <c r="B171" s="230"/>
      <c r="C171" s="295"/>
      <c r="D171" s="227"/>
      <c r="E171" s="325"/>
      <c r="F171" s="297"/>
      <c r="G171" s="325"/>
      <c r="H171" s="321"/>
      <c r="I171" s="321"/>
      <c r="J171" s="321"/>
      <c r="K171" s="321"/>
      <c r="L171" s="321"/>
    </row>
    <row r="172" spans="2:12" ht="15" hidden="1" outlineLevel="1">
      <c r="B172" s="230"/>
      <c r="C172" s="530" t="s">
        <v>57</v>
      </c>
      <c r="D172" s="543"/>
      <c r="E172" s="532">
        <v>1227</v>
      </c>
      <c r="F172" s="540"/>
      <c r="G172" s="532"/>
      <c r="H172" s="529"/>
      <c r="I172" s="529">
        <v>0.16</v>
      </c>
      <c r="J172" s="529"/>
      <c r="K172" s="529">
        <v>0.16</v>
      </c>
      <c r="L172" s="529"/>
    </row>
    <row r="173" spans="2:12" ht="15" hidden="1" outlineLevel="1">
      <c r="B173" s="230"/>
      <c r="C173" s="530" t="s">
        <v>55</v>
      </c>
      <c r="D173" s="543"/>
      <c r="E173" s="532">
        <v>2462</v>
      </c>
      <c r="F173" s="540"/>
      <c r="G173" s="532"/>
      <c r="H173" s="529"/>
      <c r="I173" s="529">
        <v>0.33</v>
      </c>
      <c r="J173" s="529"/>
      <c r="K173" s="529">
        <v>0.32</v>
      </c>
      <c r="L173" s="529"/>
    </row>
    <row r="174" spans="2:12" ht="15" hidden="1" outlineLevel="1">
      <c r="B174" s="230"/>
      <c r="C174" s="530" t="s">
        <v>317</v>
      </c>
      <c r="D174" s="543"/>
      <c r="E174" s="532">
        <v>11162</v>
      </c>
      <c r="F174" s="540"/>
      <c r="G174" s="532"/>
      <c r="H174" s="529"/>
      <c r="I174" s="529">
        <v>1.5</v>
      </c>
      <c r="J174" s="529"/>
      <c r="K174" s="529">
        <v>1.44</v>
      </c>
      <c r="L174" s="529"/>
    </row>
    <row r="175" spans="2:12" ht="15" hidden="1" outlineLevel="1">
      <c r="B175" s="230"/>
      <c r="C175" s="530" t="s">
        <v>56</v>
      </c>
      <c r="D175" s="543"/>
      <c r="E175" s="532">
        <v>1022</v>
      </c>
      <c r="F175" s="540"/>
      <c r="G175" s="532"/>
      <c r="H175" s="529"/>
      <c r="I175" s="529">
        <v>0.14000000000000001</v>
      </c>
      <c r="J175" s="529"/>
      <c r="K175" s="529">
        <v>0.13</v>
      </c>
      <c r="L175" s="529"/>
    </row>
    <row r="176" spans="2:12" ht="15" hidden="1" outlineLevel="1">
      <c r="B176" s="230"/>
      <c r="C176" s="530" t="s">
        <v>250</v>
      </c>
      <c r="D176" s="543"/>
      <c r="E176" s="532">
        <v>723</v>
      </c>
      <c r="F176" s="540"/>
      <c r="G176" s="532"/>
      <c r="H176" s="529"/>
      <c r="I176" s="529">
        <v>0.1</v>
      </c>
      <c r="J176" s="529"/>
      <c r="K176" s="529">
        <v>0.09</v>
      </c>
      <c r="L176" s="529"/>
    </row>
    <row r="177" spans="2:12" ht="15" hidden="1" outlineLevel="1">
      <c r="B177" s="230"/>
      <c r="C177" s="530" t="s">
        <v>251</v>
      </c>
      <c r="D177" s="543"/>
      <c r="E177" s="532">
        <v>1800</v>
      </c>
      <c r="F177" s="540"/>
      <c r="G177" s="532"/>
      <c r="H177" s="529"/>
      <c r="I177" s="529">
        <v>0.24</v>
      </c>
      <c r="J177" s="529"/>
      <c r="K177" s="529">
        <v>0.23</v>
      </c>
      <c r="L177" s="529"/>
    </row>
    <row r="178" spans="2:12" ht="15" hidden="1" outlineLevel="1">
      <c r="B178" s="230"/>
      <c r="C178" s="530" t="s">
        <v>30</v>
      </c>
      <c r="D178" s="543"/>
      <c r="E178" s="532">
        <v>2280</v>
      </c>
      <c r="F178" s="540"/>
      <c r="G178" s="532"/>
      <c r="H178" s="529"/>
      <c r="I178" s="529">
        <v>0.31</v>
      </c>
      <c r="J178" s="529"/>
      <c r="K178" s="529">
        <v>0.28999999999999998</v>
      </c>
      <c r="L178" s="529"/>
    </row>
    <row r="179" spans="2:12" ht="15" collapsed="1">
      <c r="B179" s="230" t="s">
        <v>30</v>
      </c>
      <c r="C179" s="295"/>
      <c r="D179" s="227"/>
      <c r="E179" s="282">
        <v>20675</v>
      </c>
      <c r="F179" s="297"/>
      <c r="G179" s="282"/>
      <c r="H179" s="296"/>
      <c r="I179" s="296">
        <v>2.78</v>
      </c>
      <c r="J179" s="296"/>
      <c r="K179" s="296">
        <v>2.66</v>
      </c>
      <c r="L179" s="296"/>
    </row>
    <row r="180" spans="2:12" ht="5.0999999999999996" customHeight="1">
      <c r="B180" s="277"/>
      <c r="C180" s="549"/>
      <c r="D180" s="277"/>
      <c r="E180" s="550"/>
      <c r="F180" s="500"/>
      <c r="G180" s="550"/>
      <c r="H180" s="551"/>
      <c r="I180" s="551"/>
      <c r="J180" s="551"/>
      <c r="K180" s="551"/>
      <c r="L180" s="551"/>
    </row>
    <row r="181" spans="2:12" ht="25.5" customHeight="1">
      <c r="B181" s="634" t="s">
        <v>134</v>
      </c>
      <c r="C181" s="634"/>
      <c r="D181" s="308"/>
      <c r="E181" s="552">
        <v>103005.72517925999</v>
      </c>
      <c r="F181" s="553"/>
      <c r="G181" s="552"/>
      <c r="H181" s="554"/>
      <c r="I181" s="554">
        <v>13.84</v>
      </c>
      <c r="J181" s="554"/>
      <c r="K181" s="554">
        <v>13.27</v>
      </c>
      <c r="L181" s="554"/>
    </row>
    <row r="182" spans="2:12" ht="9.9499999999999993" customHeight="1">
      <c r="B182" s="230"/>
      <c r="C182" s="230"/>
      <c r="D182" s="227"/>
      <c r="E182" s="269"/>
      <c r="F182" s="297"/>
      <c r="G182" s="269"/>
      <c r="H182" s="310"/>
      <c r="I182" s="310"/>
      <c r="J182" s="310"/>
      <c r="K182" s="310"/>
      <c r="L182" s="310"/>
    </row>
    <row r="183" spans="2:12" ht="15" hidden="1" outlineLevel="1">
      <c r="B183" s="230"/>
      <c r="C183" s="530" t="s">
        <v>135</v>
      </c>
      <c r="D183" s="543"/>
      <c r="E183" s="532">
        <v>38504</v>
      </c>
      <c r="F183" s="540"/>
      <c r="G183" s="532"/>
      <c r="H183" s="529"/>
      <c r="I183" s="529">
        <v>5.17</v>
      </c>
      <c r="J183" s="529"/>
      <c r="K183" s="529">
        <v>4.96</v>
      </c>
      <c r="L183" s="529"/>
    </row>
    <row r="184" spans="2:12" ht="15" hidden="1" outlineLevel="1">
      <c r="B184" s="230"/>
      <c r="C184" s="535" t="s">
        <v>131</v>
      </c>
      <c r="D184" s="543"/>
      <c r="E184" s="532">
        <v>41530</v>
      </c>
      <c r="F184" s="540"/>
      <c r="G184" s="532"/>
      <c r="H184" s="529"/>
      <c r="I184" s="529">
        <v>5.58</v>
      </c>
      <c r="J184" s="529"/>
      <c r="K184" s="529">
        <v>5.35</v>
      </c>
      <c r="L184" s="529"/>
    </row>
    <row r="185" spans="2:12" ht="15" hidden="1" outlineLevel="1">
      <c r="B185" s="230"/>
      <c r="C185" s="535" t="s">
        <v>136</v>
      </c>
      <c r="D185" s="543"/>
      <c r="E185" s="532">
        <v>1093</v>
      </c>
      <c r="F185" s="540"/>
      <c r="G185" s="532"/>
      <c r="H185" s="529"/>
      <c r="I185" s="529">
        <v>0.15</v>
      </c>
      <c r="J185" s="529"/>
      <c r="K185" s="529">
        <v>0.14000000000000001</v>
      </c>
      <c r="L185" s="529"/>
    </row>
    <row r="186" spans="2:12" ht="15" collapsed="1">
      <c r="B186" s="230" t="s">
        <v>32</v>
      </c>
      <c r="C186" s="295"/>
      <c r="D186" s="227"/>
      <c r="E186" s="282">
        <v>81126</v>
      </c>
      <c r="F186" s="297"/>
      <c r="G186" s="282"/>
      <c r="H186" s="296"/>
      <c r="I186" s="296">
        <v>10.9</v>
      </c>
      <c r="J186" s="296"/>
      <c r="K186" s="296">
        <v>10.45</v>
      </c>
      <c r="L186" s="296"/>
    </row>
    <row r="187" spans="2:12" ht="5.0999999999999996" customHeight="1">
      <c r="B187" s="230"/>
      <c r="C187" s="230"/>
      <c r="D187" s="227"/>
      <c r="E187" s="269"/>
      <c r="F187" s="297"/>
      <c r="G187" s="269"/>
      <c r="H187" s="310"/>
      <c r="I187" s="310"/>
      <c r="J187" s="310"/>
      <c r="K187" s="310"/>
      <c r="L187" s="310"/>
    </row>
    <row r="188" spans="2:12" ht="15">
      <c r="B188" s="560" t="s">
        <v>302</v>
      </c>
      <c r="C188" s="516"/>
      <c r="D188" s="556"/>
      <c r="E188" s="557"/>
      <c r="F188" s="558"/>
      <c r="G188" s="557"/>
      <c r="H188" s="559"/>
      <c r="I188" s="559"/>
      <c r="J188" s="559"/>
      <c r="K188" s="559"/>
      <c r="L188" s="559"/>
    </row>
    <row r="189" spans="2:12" ht="5.0999999999999996" customHeight="1">
      <c r="B189" s="230"/>
      <c r="C189" s="230"/>
      <c r="D189" s="561"/>
      <c r="E189" s="282"/>
      <c r="F189" s="297"/>
      <c r="G189" s="282"/>
      <c r="H189" s="296"/>
      <c r="I189" s="296"/>
      <c r="J189" s="296"/>
      <c r="K189" s="296"/>
      <c r="L189" s="296"/>
    </row>
    <row r="190" spans="2:12" ht="15">
      <c r="B190" s="230" t="s">
        <v>7</v>
      </c>
      <c r="C190" s="295"/>
      <c r="D190" s="227"/>
      <c r="E190" s="282">
        <v>86900</v>
      </c>
      <c r="F190" s="297"/>
      <c r="G190" s="282"/>
      <c r="H190" s="296"/>
      <c r="I190" s="296">
        <v>11.68</v>
      </c>
      <c r="J190" s="296"/>
      <c r="K190" s="296">
        <v>11.2</v>
      </c>
      <c r="L190" s="296"/>
    </row>
    <row r="191" spans="2:12" ht="5.0999999999999996" customHeight="1">
      <c r="B191" s="536"/>
      <c r="C191" s="395"/>
      <c r="D191" s="394"/>
      <c r="E191" s="282"/>
      <c r="F191" s="534"/>
      <c r="G191" s="282"/>
      <c r="H191" s="296"/>
      <c r="I191" s="296"/>
      <c r="J191" s="296"/>
      <c r="K191" s="296"/>
      <c r="L191" s="296"/>
    </row>
    <row r="192" spans="2:12" ht="15" hidden="1" outlineLevel="1">
      <c r="B192" s="394"/>
      <c r="C192" s="530" t="s">
        <v>42</v>
      </c>
      <c r="D192" s="531"/>
      <c r="E192" s="532">
        <v>4693</v>
      </c>
      <c r="F192" s="533"/>
      <c r="G192" s="532"/>
      <c r="H192" s="529"/>
      <c r="I192" s="529">
        <v>0.63</v>
      </c>
      <c r="J192" s="529"/>
      <c r="K192" s="529">
        <v>0.6</v>
      </c>
      <c r="L192" s="529"/>
    </row>
    <row r="193" spans="2:12" ht="15" hidden="1" outlineLevel="1">
      <c r="B193" s="394"/>
      <c r="C193" s="530" t="s">
        <v>43</v>
      </c>
      <c r="D193" s="531"/>
      <c r="E193" s="532">
        <v>6263</v>
      </c>
      <c r="F193" s="533"/>
      <c r="G193" s="532"/>
      <c r="H193" s="529"/>
      <c r="I193" s="529">
        <v>0.84</v>
      </c>
      <c r="J193" s="529"/>
      <c r="K193" s="529">
        <v>0.81</v>
      </c>
      <c r="L193" s="529"/>
    </row>
    <row r="194" spans="2:12" ht="15" hidden="1" outlineLevel="1">
      <c r="B194" s="394"/>
      <c r="C194" s="530" t="s">
        <v>44</v>
      </c>
      <c r="D194" s="531"/>
      <c r="E194" s="532">
        <v>4044</v>
      </c>
      <c r="F194" s="533"/>
      <c r="G194" s="532"/>
      <c r="H194" s="529"/>
      <c r="I194" s="529">
        <v>0.54</v>
      </c>
      <c r="J194" s="529"/>
      <c r="K194" s="529">
        <v>0.52</v>
      </c>
      <c r="L194" s="529"/>
    </row>
    <row r="195" spans="2:12" ht="15" customHeight="1" collapsed="1">
      <c r="B195" s="632" t="s">
        <v>8</v>
      </c>
      <c r="C195" s="633"/>
      <c r="D195" s="394"/>
      <c r="E195" s="282">
        <v>15000</v>
      </c>
      <c r="F195" s="534"/>
      <c r="G195" s="282"/>
      <c r="H195" s="296"/>
      <c r="I195" s="296">
        <v>2.02</v>
      </c>
      <c r="J195" s="296"/>
      <c r="K195" s="296">
        <v>1.93</v>
      </c>
      <c r="L195" s="296"/>
    </row>
    <row r="196" spans="2:12" ht="5.0999999999999996" customHeight="1">
      <c r="B196" s="230"/>
      <c r="C196" s="230"/>
      <c r="D196" s="561"/>
      <c r="E196" s="282"/>
      <c r="F196" s="297"/>
      <c r="G196" s="282"/>
      <c r="H196" s="296"/>
      <c r="I196" s="296"/>
      <c r="J196" s="296"/>
      <c r="K196" s="296"/>
      <c r="L196" s="296"/>
    </row>
    <row r="197" spans="2:12" ht="15">
      <c r="B197" s="230" t="s">
        <v>9</v>
      </c>
      <c r="C197" s="295"/>
      <c r="D197" s="227"/>
      <c r="E197" s="282">
        <v>68144</v>
      </c>
      <c r="F197" s="297"/>
      <c r="G197" s="282"/>
      <c r="H197" s="296"/>
      <c r="I197" s="296">
        <v>9.16</v>
      </c>
      <c r="J197" s="296"/>
      <c r="K197" s="296">
        <v>8.7799999999999994</v>
      </c>
      <c r="L197" s="296"/>
    </row>
    <row r="198" spans="2:12" ht="5.0999999999999996" customHeight="1">
      <c r="B198" s="277"/>
      <c r="C198" s="549"/>
      <c r="D198" s="277"/>
      <c r="E198" s="550"/>
      <c r="F198" s="500"/>
      <c r="G198" s="550"/>
      <c r="H198" s="551"/>
      <c r="I198" s="551"/>
      <c r="J198" s="551"/>
      <c r="K198" s="551"/>
      <c r="L198" s="551"/>
    </row>
    <row r="199" spans="2:12" ht="25.5" customHeight="1">
      <c r="B199" s="634" t="s">
        <v>303</v>
      </c>
      <c r="C199" s="634"/>
      <c r="D199" s="308"/>
      <c r="E199" s="552">
        <v>170044</v>
      </c>
      <c r="F199" s="553"/>
      <c r="G199" s="552"/>
      <c r="H199" s="554"/>
      <c r="I199" s="554">
        <v>22.85</v>
      </c>
      <c r="J199" s="554"/>
      <c r="K199" s="554">
        <v>21.91</v>
      </c>
      <c r="L199" s="554"/>
    </row>
    <row r="200" spans="2:12" ht="9.9499999999999993" customHeight="1">
      <c r="B200" s="230"/>
      <c r="C200" s="230"/>
      <c r="D200" s="227"/>
      <c r="E200" s="269"/>
      <c r="F200" s="297"/>
      <c r="G200" s="269"/>
      <c r="H200" s="310"/>
      <c r="I200" s="310"/>
      <c r="J200" s="310"/>
      <c r="K200" s="310"/>
      <c r="L200" s="310"/>
    </row>
    <row r="201" spans="2:12" ht="5.0999999999999996" customHeight="1">
      <c r="B201" s="230"/>
      <c r="C201" s="295"/>
      <c r="D201" s="227"/>
      <c r="E201" s="282"/>
      <c r="F201" s="297"/>
      <c r="G201" s="282"/>
      <c r="H201" s="296"/>
      <c r="I201" s="296"/>
      <c r="J201" s="296"/>
      <c r="K201" s="296"/>
      <c r="L201" s="296"/>
    </row>
    <row r="202" spans="2:12" ht="15">
      <c r="B202" s="230" t="s">
        <v>137</v>
      </c>
      <c r="C202" s="295"/>
      <c r="D202" s="227"/>
      <c r="E202" s="282">
        <v>32572</v>
      </c>
      <c r="F202" s="297"/>
      <c r="G202" s="282"/>
      <c r="H202" s="296"/>
      <c r="I202" s="296">
        <v>4.38</v>
      </c>
      <c r="J202" s="296"/>
      <c r="K202" s="296">
        <v>4.2</v>
      </c>
      <c r="L202" s="296"/>
    </row>
    <row r="203" spans="2:12" ht="9.9499999999999993" customHeight="1">
      <c r="B203" s="230"/>
      <c r="C203" s="295"/>
      <c r="D203" s="227"/>
      <c r="E203" s="325"/>
      <c r="F203" s="297"/>
      <c r="G203" s="325"/>
      <c r="H203" s="321"/>
      <c r="I203" s="321"/>
      <c r="J203" s="321"/>
      <c r="K203" s="321"/>
      <c r="L203" s="321"/>
    </row>
    <row r="204" spans="2:12" ht="15.75" hidden="1" outlineLevel="2">
      <c r="B204" s="523"/>
      <c r="C204" s="524" t="s">
        <v>255</v>
      </c>
      <c r="D204" s="525"/>
      <c r="E204" s="526">
        <v>2615</v>
      </c>
      <c r="F204" s="527"/>
      <c r="G204" s="526"/>
      <c r="H204" s="528"/>
      <c r="I204" s="528">
        <v>0.35</v>
      </c>
      <c r="J204" s="528"/>
      <c r="K204" s="528">
        <v>0.34</v>
      </c>
      <c r="L204" s="562"/>
    </row>
    <row r="205" spans="2:12" ht="15.75" hidden="1" outlineLevel="2">
      <c r="B205" s="523"/>
      <c r="C205" s="524" t="s">
        <v>256</v>
      </c>
      <c r="D205" s="525"/>
      <c r="E205" s="526">
        <v>133</v>
      </c>
      <c r="F205" s="527"/>
      <c r="G205" s="526"/>
      <c r="H205" s="528"/>
      <c r="I205" s="528">
        <v>0.02</v>
      </c>
      <c r="J205" s="528"/>
      <c r="K205" s="528">
        <v>0.02</v>
      </c>
      <c r="L205" s="562"/>
    </row>
    <row r="206" spans="2:12" ht="15.75" hidden="1" outlineLevel="2">
      <c r="B206" s="523"/>
      <c r="C206" s="524" t="s">
        <v>257</v>
      </c>
      <c r="D206" s="525"/>
      <c r="E206" s="526">
        <v>564</v>
      </c>
      <c r="F206" s="527"/>
      <c r="G206" s="526"/>
      <c r="H206" s="528"/>
      <c r="I206" s="528">
        <v>0.08</v>
      </c>
      <c r="J206" s="528"/>
      <c r="K206" s="528">
        <v>7.0000000000000007E-2</v>
      </c>
      <c r="L206" s="562"/>
    </row>
    <row r="207" spans="2:12" ht="15.75" hidden="1" outlineLevel="2">
      <c r="B207" s="523"/>
      <c r="C207" s="524" t="s">
        <v>258</v>
      </c>
      <c r="D207" s="525"/>
      <c r="E207" s="526">
        <v>21195</v>
      </c>
      <c r="F207" s="527"/>
      <c r="G207" s="526"/>
      <c r="H207" s="528"/>
      <c r="I207" s="528">
        <v>2.85</v>
      </c>
      <c r="J207" s="528"/>
      <c r="K207" s="528">
        <v>2.73</v>
      </c>
      <c r="L207" s="562"/>
    </row>
    <row r="208" spans="2:12" ht="15.75" hidden="1" outlineLevel="2">
      <c r="B208" s="523"/>
      <c r="C208" s="524" t="s">
        <v>259</v>
      </c>
      <c r="D208" s="525"/>
      <c r="E208" s="526">
        <v>2938</v>
      </c>
      <c r="F208" s="527"/>
      <c r="G208" s="526"/>
      <c r="H208" s="528"/>
      <c r="I208" s="528">
        <v>0.39</v>
      </c>
      <c r="J208" s="528"/>
      <c r="K208" s="528">
        <v>0.38</v>
      </c>
      <c r="L208" s="562"/>
    </row>
    <row r="209" spans="2:12" ht="15.75" hidden="1" outlineLevel="2">
      <c r="B209" s="523"/>
      <c r="C209" s="524" t="s">
        <v>260</v>
      </c>
      <c r="D209" s="525"/>
      <c r="E209" s="526">
        <v>23812</v>
      </c>
      <c r="F209" s="527"/>
      <c r="G209" s="526"/>
      <c r="H209" s="528"/>
      <c r="I209" s="528">
        <v>3.2</v>
      </c>
      <c r="J209" s="528"/>
      <c r="K209" s="528">
        <v>3.07</v>
      </c>
      <c r="L209" s="562"/>
    </row>
    <row r="210" spans="2:12" ht="15.75" hidden="1" outlineLevel="2">
      <c r="B210" s="523"/>
      <c r="C210" s="524" t="s">
        <v>261</v>
      </c>
      <c r="D210" s="525"/>
      <c r="E210" s="526">
        <v>98</v>
      </c>
      <c r="F210" s="527"/>
      <c r="G210" s="526"/>
      <c r="H210" s="528"/>
      <c r="I210" s="528">
        <v>0.01</v>
      </c>
      <c r="J210" s="528"/>
      <c r="K210" s="528">
        <v>1.2999999999999999E-2</v>
      </c>
      <c r="L210" s="562"/>
    </row>
    <row r="211" spans="2:12" ht="15.75" hidden="1" outlineLevel="2">
      <c r="B211" s="523"/>
      <c r="C211" s="524" t="s">
        <v>262</v>
      </c>
      <c r="D211" s="525"/>
      <c r="E211" s="526">
        <v>1451</v>
      </c>
      <c r="F211" s="527"/>
      <c r="G211" s="526"/>
      <c r="H211" s="528"/>
      <c r="I211" s="528">
        <v>0.19</v>
      </c>
      <c r="J211" s="528"/>
      <c r="K211" s="528">
        <v>0.19</v>
      </c>
      <c r="L211" s="562"/>
    </row>
    <row r="212" spans="2:12" ht="15.75" hidden="1" outlineLevel="2">
      <c r="B212" s="523"/>
      <c r="C212" s="524" t="s">
        <v>263</v>
      </c>
      <c r="D212" s="525"/>
      <c r="E212" s="526">
        <v>1</v>
      </c>
      <c r="F212" s="527"/>
      <c r="G212" s="526"/>
      <c r="H212" s="528"/>
      <c r="I212" s="528">
        <v>0</v>
      </c>
      <c r="J212" s="528"/>
      <c r="K212" s="528">
        <v>0</v>
      </c>
      <c r="L212" s="562"/>
    </row>
    <row r="213" spans="2:12" ht="15.75" hidden="1" outlineLevel="2">
      <c r="B213" s="523"/>
      <c r="C213" s="524" t="s">
        <v>264</v>
      </c>
      <c r="D213" s="525"/>
      <c r="E213" s="526">
        <v>5051</v>
      </c>
      <c r="F213" s="527"/>
      <c r="G213" s="526"/>
      <c r="H213" s="528"/>
      <c r="I213" s="528">
        <v>0.68</v>
      </c>
      <c r="J213" s="528"/>
      <c r="K213" s="528">
        <v>0.65</v>
      </c>
      <c r="L213" s="562"/>
    </row>
    <row r="214" spans="2:12" ht="15.75" hidden="1" outlineLevel="2">
      <c r="B214" s="523"/>
      <c r="C214" s="524" t="s">
        <v>265</v>
      </c>
      <c r="D214" s="525"/>
      <c r="E214" s="526">
        <v>27047</v>
      </c>
      <c r="F214" s="527"/>
      <c r="G214" s="526"/>
      <c r="H214" s="528"/>
      <c r="I214" s="528">
        <v>3.63</v>
      </c>
      <c r="J214" s="528"/>
      <c r="K214" s="528">
        <v>3.49</v>
      </c>
      <c r="L214" s="562"/>
    </row>
    <row r="215" spans="2:12" ht="15" customHeight="1" outlineLevel="1" collapsed="1">
      <c r="B215" s="635" t="s">
        <v>254</v>
      </c>
      <c r="C215" s="636"/>
      <c r="D215" s="563"/>
      <c r="E215" s="532">
        <v>84905</v>
      </c>
      <c r="F215" s="564"/>
      <c r="G215" s="532"/>
      <c r="H215" s="529"/>
      <c r="I215" s="529">
        <v>11.41</v>
      </c>
      <c r="J215" s="529"/>
      <c r="K215" s="529">
        <v>10.94</v>
      </c>
      <c r="L215" s="565"/>
    </row>
    <row r="216" spans="2:12" ht="5.0999999999999996" customHeight="1" outlineLevel="1">
      <c r="B216" s="230"/>
      <c r="C216" s="530"/>
      <c r="D216" s="543"/>
      <c r="E216" s="532"/>
      <c r="F216" s="540"/>
      <c r="G216" s="532"/>
      <c r="H216" s="529"/>
      <c r="I216" s="529"/>
      <c r="J216" s="529"/>
      <c r="K216" s="529"/>
      <c r="L216" s="565"/>
    </row>
    <row r="217" spans="2:12" ht="15.75" hidden="1" outlineLevel="2">
      <c r="B217" s="566"/>
      <c r="C217" s="524" t="s">
        <v>201</v>
      </c>
      <c r="D217" s="525"/>
      <c r="E217" s="526">
        <v>27873</v>
      </c>
      <c r="F217" s="527"/>
      <c r="G217" s="526"/>
      <c r="H217" s="528"/>
      <c r="I217" s="528">
        <v>3.75</v>
      </c>
      <c r="J217" s="528"/>
      <c r="K217" s="528">
        <v>3.59</v>
      </c>
      <c r="L217" s="562"/>
    </row>
    <row r="218" spans="2:12" ht="15.75" hidden="1" outlineLevel="2">
      <c r="B218" s="566"/>
      <c r="C218" s="524" t="s">
        <v>267</v>
      </c>
      <c r="D218" s="525"/>
      <c r="E218" s="526">
        <v>18083</v>
      </c>
      <c r="F218" s="527"/>
      <c r="G218" s="526"/>
      <c r="H218" s="528"/>
      <c r="I218" s="528">
        <v>2.4300000000000002</v>
      </c>
      <c r="J218" s="528"/>
      <c r="K218" s="528">
        <v>2.33</v>
      </c>
      <c r="L218" s="562"/>
    </row>
    <row r="219" spans="2:12" ht="15.75" hidden="1" outlineLevel="2">
      <c r="B219" s="566"/>
      <c r="C219" s="524" t="s">
        <v>268</v>
      </c>
      <c r="D219" s="525"/>
      <c r="E219" s="526">
        <v>1441</v>
      </c>
      <c r="F219" s="527"/>
      <c r="G219" s="526"/>
      <c r="H219" s="528"/>
      <c r="I219" s="528">
        <v>0.19</v>
      </c>
      <c r="J219" s="528"/>
      <c r="K219" s="528">
        <v>0.19</v>
      </c>
      <c r="L219" s="562"/>
    </row>
    <row r="220" spans="2:12" ht="15.75" hidden="1" outlineLevel="2">
      <c r="B220" s="566"/>
      <c r="C220" s="524" t="s">
        <v>269</v>
      </c>
      <c r="D220" s="525"/>
      <c r="E220" s="526">
        <v>4628</v>
      </c>
      <c r="F220" s="527"/>
      <c r="G220" s="526"/>
      <c r="H220" s="528"/>
      <c r="I220" s="528">
        <v>0.62</v>
      </c>
      <c r="J220" s="528"/>
      <c r="K220" s="528">
        <v>0.6</v>
      </c>
      <c r="L220" s="562"/>
    </row>
    <row r="221" spans="2:12" ht="15.75" hidden="1" outlineLevel="2">
      <c r="B221" s="566"/>
      <c r="C221" s="524" t="s">
        <v>270</v>
      </c>
      <c r="D221" s="525"/>
      <c r="E221" s="526">
        <v>459</v>
      </c>
      <c r="F221" s="527"/>
      <c r="G221" s="526"/>
      <c r="H221" s="528"/>
      <c r="I221" s="528">
        <v>0.06</v>
      </c>
      <c r="J221" s="528"/>
      <c r="K221" s="528">
        <v>0.06</v>
      </c>
      <c r="L221" s="562"/>
    </row>
    <row r="222" spans="2:12" ht="15.75" hidden="1" outlineLevel="2">
      <c r="B222" s="566"/>
      <c r="C222" s="524" t="s">
        <v>271</v>
      </c>
      <c r="D222" s="525"/>
      <c r="E222" s="526">
        <v>87</v>
      </c>
      <c r="F222" s="527"/>
      <c r="G222" s="526"/>
      <c r="H222" s="528"/>
      <c r="I222" s="528">
        <v>0.01</v>
      </c>
      <c r="J222" s="528"/>
      <c r="K222" s="528">
        <v>0.01</v>
      </c>
      <c r="L222" s="562"/>
    </row>
    <row r="223" spans="2:12" ht="15.75" hidden="1" outlineLevel="2">
      <c r="B223" s="566"/>
      <c r="C223" s="524" t="s">
        <v>272</v>
      </c>
      <c r="D223" s="525"/>
      <c r="E223" s="526">
        <v>4226</v>
      </c>
      <c r="F223" s="527"/>
      <c r="G223" s="526"/>
      <c r="H223" s="528"/>
      <c r="I223" s="528">
        <v>0.56999999999999995</v>
      </c>
      <c r="J223" s="528"/>
      <c r="K223" s="528">
        <v>0.54</v>
      </c>
      <c r="L223" s="562"/>
    </row>
    <row r="224" spans="2:12" ht="15.75" hidden="1" outlineLevel="2">
      <c r="B224" s="566"/>
      <c r="C224" s="524" t="s">
        <v>273</v>
      </c>
      <c r="D224" s="525"/>
      <c r="E224" s="526">
        <v>1852</v>
      </c>
      <c r="F224" s="527"/>
      <c r="G224" s="526"/>
      <c r="H224" s="528"/>
      <c r="I224" s="528">
        <v>0.25</v>
      </c>
      <c r="J224" s="528"/>
      <c r="K224" s="528">
        <v>0.24</v>
      </c>
      <c r="L224" s="562"/>
    </row>
    <row r="225" spans="2:12" ht="15.75" hidden="1" outlineLevel="2">
      <c r="B225" s="566"/>
      <c r="C225" s="524" t="s">
        <v>275</v>
      </c>
      <c r="D225" s="525"/>
      <c r="E225" s="526">
        <v>1550</v>
      </c>
      <c r="F225" s="527"/>
      <c r="G225" s="526"/>
      <c r="H225" s="528"/>
      <c r="I225" s="528">
        <v>0.21</v>
      </c>
      <c r="J225" s="528"/>
      <c r="K225" s="528">
        <v>0.2</v>
      </c>
      <c r="L225" s="562"/>
    </row>
    <row r="226" spans="2:12" ht="15" customHeight="1" outlineLevel="1" collapsed="1">
      <c r="B226" s="230"/>
      <c r="C226" s="530" t="s">
        <v>304</v>
      </c>
      <c r="D226" s="543"/>
      <c r="E226" s="532">
        <v>60198</v>
      </c>
      <c r="F226" s="540"/>
      <c r="G226" s="532"/>
      <c r="H226" s="529"/>
      <c r="I226" s="529">
        <v>8.09</v>
      </c>
      <c r="J226" s="529"/>
      <c r="K226" s="529">
        <v>7.76</v>
      </c>
      <c r="L226" s="565"/>
    </row>
    <row r="227" spans="2:12" ht="5.0999999999999996" customHeight="1" outlineLevel="1">
      <c r="B227" s="230"/>
      <c r="C227" s="530"/>
      <c r="D227" s="543"/>
      <c r="E227" s="532"/>
      <c r="F227" s="540"/>
      <c r="G227" s="532"/>
      <c r="H227" s="529"/>
      <c r="I227" s="529"/>
      <c r="J227" s="529"/>
      <c r="K227" s="529"/>
      <c r="L227" s="565"/>
    </row>
    <row r="228" spans="2:12" ht="15.75" hidden="1" outlineLevel="2">
      <c r="B228" s="566"/>
      <c r="C228" s="524" t="s">
        <v>318</v>
      </c>
      <c r="D228" s="525"/>
      <c r="E228" s="526">
        <v>219</v>
      </c>
      <c r="F228" s="527"/>
      <c r="G228" s="526"/>
      <c r="H228" s="528"/>
      <c r="I228" s="528">
        <v>0.03</v>
      </c>
      <c r="J228" s="528"/>
      <c r="K228" s="528">
        <v>0.03</v>
      </c>
      <c r="L228" s="562"/>
    </row>
    <row r="229" spans="2:12" ht="15.75" hidden="1" outlineLevel="2">
      <c r="B229" s="566"/>
      <c r="C229" s="524" t="s">
        <v>319</v>
      </c>
      <c r="D229" s="525"/>
      <c r="E229" s="526">
        <v>689</v>
      </c>
      <c r="F229" s="527"/>
      <c r="G229" s="526"/>
      <c r="H229" s="528"/>
      <c r="I229" s="528">
        <v>0.09</v>
      </c>
      <c r="J229" s="528"/>
      <c r="K229" s="528">
        <v>0.09</v>
      </c>
      <c r="L229" s="562"/>
    </row>
    <row r="230" spans="2:12" ht="15.75" hidden="1" outlineLevel="2">
      <c r="B230" s="566"/>
      <c r="C230" s="524" t="s">
        <v>281</v>
      </c>
      <c r="D230" s="525"/>
      <c r="E230" s="526">
        <v>289</v>
      </c>
      <c r="F230" s="527"/>
      <c r="G230" s="526"/>
      <c r="H230" s="528"/>
      <c r="I230" s="528">
        <v>0.04</v>
      </c>
      <c r="J230" s="528"/>
      <c r="K230" s="528">
        <v>0.04</v>
      </c>
      <c r="L230" s="562"/>
    </row>
    <row r="231" spans="2:12" ht="15" customHeight="1" outlineLevel="1" collapsed="1">
      <c r="B231" s="230"/>
      <c r="C231" s="530" t="s">
        <v>305</v>
      </c>
      <c r="D231" s="543"/>
      <c r="E231" s="532">
        <v>1196</v>
      </c>
      <c r="F231" s="540"/>
      <c r="G231" s="532"/>
      <c r="H231" s="529"/>
      <c r="I231" s="529">
        <v>0.16</v>
      </c>
      <c r="J231" s="529"/>
      <c r="K231" s="529">
        <v>0.15</v>
      </c>
      <c r="L231" s="565"/>
    </row>
    <row r="232" spans="2:12" ht="5.0999999999999996" customHeight="1" outlineLevel="1">
      <c r="B232" s="230"/>
      <c r="C232" s="530"/>
      <c r="D232" s="543"/>
      <c r="E232" s="532"/>
      <c r="F232" s="540"/>
      <c r="G232" s="532"/>
      <c r="H232" s="529"/>
      <c r="I232" s="529"/>
      <c r="J232" s="529"/>
      <c r="K232" s="529"/>
      <c r="L232" s="565"/>
    </row>
    <row r="233" spans="2:12" ht="15.75" hidden="1" outlineLevel="2">
      <c r="B233" s="566"/>
      <c r="C233" s="524" t="s">
        <v>320</v>
      </c>
      <c r="D233" s="525"/>
      <c r="E233" s="526">
        <v>928</v>
      </c>
      <c r="F233" s="527"/>
      <c r="G233" s="526"/>
      <c r="H233" s="528"/>
      <c r="I233" s="528">
        <v>0.12</v>
      </c>
      <c r="J233" s="528"/>
      <c r="K233" s="528">
        <v>0.12</v>
      </c>
      <c r="L233" s="562"/>
    </row>
    <row r="234" spans="2:12" ht="15.75" hidden="1" outlineLevel="2">
      <c r="B234" s="566"/>
      <c r="C234" s="524" t="s">
        <v>321</v>
      </c>
      <c r="D234" s="525"/>
      <c r="E234" s="526">
        <v>6518</v>
      </c>
      <c r="F234" s="527"/>
      <c r="G234" s="526"/>
      <c r="H234" s="528"/>
      <c r="I234" s="528">
        <v>0.88</v>
      </c>
      <c r="J234" s="528"/>
      <c r="K234" s="528">
        <v>0.84</v>
      </c>
      <c r="L234" s="562"/>
    </row>
    <row r="235" spans="2:12" ht="15.75" hidden="1" outlineLevel="2">
      <c r="B235" s="566"/>
      <c r="C235" s="524" t="s">
        <v>235</v>
      </c>
      <c r="D235" s="525"/>
      <c r="E235" s="526">
        <v>5558</v>
      </c>
      <c r="F235" s="527"/>
      <c r="G235" s="526"/>
      <c r="H235" s="528"/>
      <c r="I235" s="528">
        <v>0.75</v>
      </c>
      <c r="J235" s="528"/>
      <c r="K235" s="528">
        <v>0.72</v>
      </c>
      <c r="L235" s="562"/>
    </row>
    <row r="236" spans="2:12" ht="15.75" hidden="1" outlineLevel="2">
      <c r="B236" s="566"/>
      <c r="C236" s="524" t="s">
        <v>322</v>
      </c>
      <c r="D236" s="525"/>
      <c r="E236" s="526">
        <v>1050</v>
      </c>
      <c r="F236" s="527"/>
      <c r="G236" s="526"/>
      <c r="H236" s="528"/>
      <c r="I236" s="528">
        <v>0.14000000000000001</v>
      </c>
      <c r="J236" s="528"/>
      <c r="K236" s="528">
        <v>0.14000000000000001</v>
      </c>
      <c r="L236" s="562"/>
    </row>
    <row r="237" spans="2:12" ht="15.75" hidden="1" outlineLevel="2">
      <c r="B237" s="566"/>
      <c r="C237" s="524" t="s">
        <v>323</v>
      </c>
      <c r="D237" s="525"/>
      <c r="E237" s="526">
        <v>2284</v>
      </c>
      <c r="F237" s="527"/>
      <c r="G237" s="526"/>
      <c r="H237" s="528"/>
      <c r="I237" s="528">
        <v>0.31</v>
      </c>
      <c r="J237" s="528"/>
      <c r="K237" s="528">
        <v>0.28999999999999998</v>
      </c>
      <c r="L237" s="562"/>
    </row>
    <row r="238" spans="2:12" ht="15.75" hidden="1" outlineLevel="2">
      <c r="B238" s="566"/>
      <c r="C238" s="524" t="s">
        <v>19</v>
      </c>
      <c r="D238" s="525"/>
      <c r="E238" s="526">
        <v>3731</v>
      </c>
      <c r="F238" s="527"/>
      <c r="G238" s="526"/>
      <c r="H238" s="528"/>
      <c r="I238" s="528">
        <v>0.5</v>
      </c>
      <c r="J238" s="528"/>
      <c r="K238" s="528">
        <v>0.48</v>
      </c>
      <c r="L238" s="562"/>
    </row>
    <row r="239" spans="2:12" ht="15" customHeight="1" outlineLevel="1" collapsed="1">
      <c r="B239" s="230"/>
      <c r="C239" s="530" t="s">
        <v>15</v>
      </c>
      <c r="D239" s="543"/>
      <c r="E239" s="532">
        <v>20069</v>
      </c>
      <c r="F239" s="540"/>
      <c r="G239" s="532"/>
      <c r="H239" s="529"/>
      <c r="I239" s="529">
        <v>2.7</v>
      </c>
      <c r="J239" s="529"/>
      <c r="K239" s="529">
        <v>2.59</v>
      </c>
      <c r="L239" s="565"/>
    </row>
    <row r="240" spans="2:12" ht="15">
      <c r="B240" s="230" t="s">
        <v>58</v>
      </c>
      <c r="C240" s="295"/>
      <c r="D240" s="227"/>
      <c r="E240" s="567">
        <v>166368</v>
      </c>
      <c r="F240" s="568"/>
      <c r="G240" s="567"/>
      <c r="H240" s="569"/>
      <c r="I240" s="569">
        <v>22.36</v>
      </c>
      <c r="J240" s="569"/>
      <c r="K240" s="569">
        <v>21.44</v>
      </c>
      <c r="L240" s="570"/>
    </row>
    <row r="241" spans="2:12" ht="9.9499999999999993" customHeight="1">
      <c r="B241" s="230"/>
      <c r="C241" s="230"/>
      <c r="D241" s="227"/>
      <c r="E241" s="567"/>
      <c r="F241" s="568"/>
      <c r="G241" s="567"/>
      <c r="H241" s="569"/>
      <c r="I241" s="569"/>
      <c r="J241" s="569"/>
      <c r="K241" s="569"/>
      <c r="L241" s="570"/>
    </row>
    <row r="242" spans="2:12">
      <c r="B242" s="4" t="s">
        <v>138</v>
      </c>
      <c r="C242" s="4"/>
      <c r="D242" s="571"/>
      <c r="E242" s="572">
        <v>1505178</v>
      </c>
      <c r="F242" s="573"/>
      <c r="G242" s="572"/>
      <c r="H242" s="574"/>
      <c r="I242" s="574">
        <v>202.27</v>
      </c>
      <c r="J242" s="574"/>
      <c r="K242" s="574">
        <v>193.95</v>
      </c>
      <c r="L242" s="574"/>
    </row>
    <row r="243" spans="2:12" ht="15" customHeight="1">
      <c r="B243" s="230"/>
      <c r="C243" s="230"/>
      <c r="D243" s="227"/>
      <c r="E243" s="325"/>
      <c r="F243" s="297"/>
      <c r="G243" s="325"/>
      <c r="H243" s="321"/>
      <c r="I243" s="321"/>
      <c r="J243" s="321"/>
      <c r="K243" s="321"/>
      <c r="L243" s="321"/>
    </row>
    <row r="244" spans="2:12" ht="15">
      <c r="B244" s="230" t="s">
        <v>64</v>
      </c>
      <c r="C244" s="230"/>
      <c r="D244" s="561"/>
      <c r="E244" s="282">
        <v>1466415</v>
      </c>
      <c r="F244" s="297"/>
      <c r="G244" s="282"/>
      <c r="H244" s="296"/>
      <c r="I244" s="296">
        <v>197.06</v>
      </c>
      <c r="J244" s="296"/>
      <c r="K244" s="296">
        <v>188.95</v>
      </c>
      <c r="L244" s="296"/>
    </row>
  </sheetData>
  <mergeCells count="22">
    <mergeCell ref="E9:K9"/>
    <mergeCell ref="B110:C110"/>
    <mergeCell ref="B148:C148"/>
    <mergeCell ref="B115:C115"/>
    <mergeCell ref="B119:C119"/>
    <mergeCell ref="B123:C123"/>
    <mergeCell ref="B134:C134"/>
    <mergeCell ref="B138:C138"/>
    <mergeCell ref="B102:C102"/>
    <mergeCell ref="B77:C77"/>
    <mergeCell ref="B91:C91"/>
    <mergeCell ref="B95:C95"/>
    <mergeCell ref="B117:C117"/>
    <mergeCell ref="B129:C129"/>
    <mergeCell ref="B160:C160"/>
    <mergeCell ref="B154:C154"/>
    <mergeCell ref="B181:C181"/>
    <mergeCell ref="B215:C215"/>
    <mergeCell ref="E65:K66"/>
    <mergeCell ref="B152:C152"/>
    <mergeCell ref="B195:C195"/>
    <mergeCell ref="B199:C19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M164"/>
  <sheetViews>
    <sheetView workbookViewId="0">
      <selection activeCell="I12" sqref="I12:I13"/>
    </sheetView>
  </sheetViews>
  <sheetFormatPr baseColWidth="10" defaultRowHeight="15" outlineLevelRow="1"/>
  <cols>
    <col min="1" max="1" width="0.75" style="223" customWidth="1"/>
    <col min="2" max="2" width="32.625" style="223" customWidth="1"/>
    <col min="3" max="3" width="18.25" style="223" customWidth="1"/>
    <col min="4" max="4" width="0.875" style="223" customWidth="1"/>
    <col min="5" max="5" width="17" style="223" customWidth="1"/>
    <col min="6" max="6" width="0.75" style="223" customWidth="1"/>
    <col min="7" max="7" width="20.375" style="223" customWidth="1"/>
    <col min="8" max="8" width="0.75" style="223" customWidth="1"/>
    <col min="9" max="9" width="17" style="223" customWidth="1"/>
    <col min="10" max="10" width="0.75" style="223" customWidth="1"/>
    <col min="11" max="11" width="13.25" style="223" customWidth="1"/>
    <col min="12" max="12" width="0.75" style="223" customWidth="1"/>
    <col min="13" max="13" width="17" style="223" customWidth="1"/>
    <col min="14" max="14" width="0.75" style="223" customWidth="1"/>
    <col min="15" max="15" width="17" style="223" customWidth="1"/>
    <col min="16" max="16" width="0.75" style="223" customWidth="1"/>
    <col min="17" max="17" width="17" style="223" customWidth="1"/>
    <col min="18" max="18" width="0.75" style="223" customWidth="1"/>
    <col min="19" max="19" width="17" style="223" customWidth="1"/>
    <col min="20" max="20" width="0.75" style="223" customWidth="1"/>
    <col min="21" max="21" width="17" style="223" customWidth="1"/>
    <col min="22" max="22" width="0.75" style="223" customWidth="1"/>
    <col min="23" max="23" width="17" style="223" customWidth="1"/>
    <col min="24" max="24" width="0.75" style="223" customWidth="1"/>
    <col min="25" max="26" width="17" style="223" customWidth="1"/>
    <col min="27" max="27" width="0.75" style="223" customWidth="1"/>
    <col min="28" max="29" width="17" style="223" customWidth="1"/>
    <col min="30" max="30" width="0.75" style="223" customWidth="1"/>
    <col min="31" max="31" width="17" style="223" customWidth="1"/>
    <col min="32" max="32" width="0.75" style="223" customWidth="1"/>
    <col min="33" max="33" width="17" style="223" customWidth="1"/>
    <col min="34" max="34" width="0.75" style="223" customWidth="1"/>
    <col min="35" max="35" width="17" style="223" customWidth="1"/>
    <col min="36" max="16384" width="11" style="223"/>
  </cols>
  <sheetData>
    <row r="1" spans="2:13" ht="25.5" customHeight="1">
      <c r="B1" s="647"/>
      <c r="C1" s="647"/>
      <c r="D1" s="647"/>
      <c r="E1" s="647"/>
      <c r="F1" s="647"/>
      <c r="G1" s="647"/>
      <c r="H1" s="647"/>
      <c r="I1" s="647"/>
      <c r="J1" s="647"/>
      <c r="K1" s="647"/>
      <c r="L1" s="400"/>
    </row>
    <row r="3" spans="2:13" ht="56.25" customHeight="1">
      <c r="B3" s="224" t="s">
        <v>340</v>
      </c>
      <c r="C3" s="225"/>
      <c r="D3" s="226"/>
      <c r="E3" s="226"/>
      <c r="F3" s="226"/>
      <c r="G3" s="227"/>
      <c r="H3" s="227"/>
      <c r="I3" s="227"/>
      <c r="J3" s="227"/>
      <c r="K3" s="227"/>
    </row>
    <row r="4" spans="2:13" ht="26.25" customHeight="1">
      <c r="B4" s="648" t="s">
        <v>341</v>
      </c>
      <c r="C4" s="648"/>
      <c r="D4" s="648"/>
      <c r="E4" s="648"/>
      <c r="F4" s="648"/>
      <c r="G4" s="648"/>
      <c r="H4" s="648"/>
      <c r="I4" s="648"/>
      <c r="J4" s="648"/>
      <c r="K4" s="648"/>
      <c r="L4" s="228"/>
    </row>
    <row r="5" spans="2:13" ht="16.5" customHeight="1">
      <c r="B5" s="229"/>
      <c r="C5" s="229"/>
      <c r="D5" s="229"/>
      <c r="E5" s="229"/>
      <c r="F5" s="229"/>
      <c r="G5" s="229"/>
      <c r="H5" s="229"/>
      <c r="I5" s="229"/>
      <c r="J5" s="229"/>
      <c r="K5" s="229"/>
      <c r="L5" s="228"/>
    </row>
    <row r="6" spans="2:13" ht="15.75" customHeight="1">
      <c r="B6" s="230"/>
      <c r="C6" s="230"/>
      <c r="D6" s="230"/>
      <c r="E6" s="230"/>
      <c r="F6" s="230"/>
      <c r="G6" s="230"/>
      <c r="H6" s="230"/>
      <c r="I6" s="649" t="str">
        <f>IF(E8="Indexation 2018","Cette indexation est différente de celle produite par la Financière agricole du Québec.","")</f>
        <v/>
      </c>
      <c r="J6" s="649"/>
      <c r="K6" s="649"/>
      <c r="L6" s="228"/>
    </row>
    <row r="7" spans="2:13" ht="4.5" customHeight="1">
      <c r="B7" s="230"/>
      <c r="C7" s="230"/>
      <c r="D7" s="230"/>
      <c r="E7" s="230"/>
      <c r="F7" s="230"/>
      <c r="G7" s="231"/>
      <c r="H7" s="230"/>
      <c r="I7" s="650"/>
      <c r="J7" s="650"/>
      <c r="K7" s="650"/>
      <c r="L7" s="228"/>
    </row>
    <row r="8" spans="2:13" ht="15.75" customHeight="1">
      <c r="B8" s="232" t="s">
        <v>1</v>
      </c>
      <c r="C8" s="232"/>
      <c r="D8" s="230"/>
      <c r="E8" s="651" t="s">
        <v>140</v>
      </c>
      <c r="F8" s="652"/>
      <c r="G8" s="653"/>
      <c r="H8" s="230"/>
      <c r="I8" s="650"/>
      <c r="J8" s="650"/>
      <c r="K8" s="650"/>
      <c r="L8" s="228"/>
    </row>
    <row r="9" spans="2:13" ht="4.5" customHeight="1">
      <c r="B9" s="227"/>
      <c r="C9" s="227"/>
      <c r="D9" s="230"/>
      <c r="E9" s="230"/>
      <c r="F9" s="230"/>
      <c r="G9" s="231"/>
      <c r="H9" s="230"/>
      <c r="I9" s="650"/>
      <c r="J9" s="650"/>
      <c r="K9" s="650"/>
      <c r="L9" s="228"/>
    </row>
    <row r="10" spans="2:13">
      <c r="B10" s="232" t="s">
        <v>0</v>
      </c>
      <c r="C10" s="232"/>
      <c r="D10" s="230"/>
      <c r="E10" s="654" t="s">
        <v>179</v>
      </c>
      <c r="F10" s="655"/>
      <c r="G10" s="656"/>
      <c r="H10" s="230"/>
      <c r="I10" s="650"/>
      <c r="J10" s="650"/>
      <c r="K10" s="650"/>
      <c r="L10" s="228"/>
    </row>
    <row r="11" spans="2:13">
      <c r="B11" s="233"/>
      <c r="C11" s="233"/>
      <c r="D11" s="233"/>
      <c r="E11" s="233"/>
      <c r="F11" s="233"/>
      <c r="G11" s="233"/>
      <c r="H11" s="233"/>
      <c r="I11" s="233"/>
      <c r="J11" s="233"/>
      <c r="K11" s="233"/>
      <c r="L11" s="228"/>
    </row>
    <row r="12" spans="2:13" ht="15" customHeight="1">
      <c r="B12" s="234"/>
      <c r="C12" s="230"/>
      <c r="D12" s="230"/>
      <c r="E12" s="657" t="s">
        <v>2</v>
      </c>
      <c r="F12" s="235"/>
      <c r="G12" s="235"/>
      <c r="H12" s="236"/>
      <c r="I12" s="659" t="str">
        <f>IF(E8&lt;&gt;0,E8,"")</f>
        <v>Indexation 2020</v>
      </c>
      <c r="J12" s="236"/>
      <c r="K12" s="659" t="s">
        <v>3</v>
      </c>
      <c r="L12" s="228"/>
    </row>
    <row r="13" spans="2:13" ht="15.75" customHeight="1" thickBot="1">
      <c r="B13" s="230"/>
      <c r="C13" s="237" t="s">
        <v>4</v>
      </c>
      <c r="D13" s="230"/>
      <c r="E13" s="658"/>
      <c r="F13" s="238"/>
      <c r="G13" s="239"/>
      <c r="H13" s="239"/>
      <c r="I13" s="660"/>
      <c r="J13" s="240"/>
      <c r="K13" s="660"/>
      <c r="L13" s="228"/>
    </row>
    <row r="14" spans="2:13" ht="15.75" customHeight="1">
      <c r="B14" s="230"/>
      <c r="C14" s="230"/>
      <c r="D14" s="230"/>
      <c r="E14" s="398"/>
      <c r="F14" s="398"/>
      <c r="G14" s="398"/>
      <c r="H14" s="398"/>
      <c r="I14" s="241"/>
      <c r="J14" s="241"/>
      <c r="K14" s="241"/>
      <c r="L14" s="228"/>
    </row>
    <row r="15" spans="2:13">
      <c r="B15" s="230" t="s">
        <v>350</v>
      </c>
      <c r="C15" s="230" t="s">
        <v>330</v>
      </c>
      <c r="D15" s="230"/>
      <c r="E15" s="1"/>
      <c r="F15" s="230"/>
      <c r="G15" s="348"/>
      <c r="H15" s="231"/>
      <c r="I15" s="242" t="str">
        <f>IF(E15="","",'Coef+Ind'!E5)</f>
        <v/>
      </c>
      <c r="J15" s="231"/>
      <c r="K15" s="348" t="str">
        <f>IF(E15=0,"",E15-I15)</f>
        <v/>
      </c>
      <c r="L15" s="228"/>
    </row>
    <row r="16" spans="2:13" ht="4.5" customHeight="1">
      <c r="B16" s="230"/>
      <c r="C16" s="230"/>
      <c r="D16" s="227"/>
      <c r="E16" s="244"/>
      <c r="F16" s="227"/>
      <c r="G16" s="245"/>
      <c r="H16" s="245"/>
      <c r="I16" s="246"/>
      <c r="J16" s="246"/>
      <c r="K16" s="246"/>
      <c r="L16" s="247"/>
      <c r="M16" s="247"/>
    </row>
    <row r="17" spans="2:13">
      <c r="B17" s="230" t="s">
        <v>183</v>
      </c>
      <c r="C17" s="230" t="s">
        <v>330</v>
      </c>
      <c r="D17" s="230"/>
      <c r="E17" s="1"/>
      <c r="F17" s="230"/>
      <c r="G17" s="430" t="str">
        <f>IF(OR(E17="",E15=""),"",E17/E15)</f>
        <v/>
      </c>
      <c r="H17" s="231"/>
      <c r="I17" s="430" t="str">
        <f>IF(E17="","",'Coef+Ind'!E6/'Coef+Ind'!E5)</f>
        <v/>
      </c>
      <c r="J17" s="231"/>
      <c r="K17" s="348" t="str">
        <f>IF(G17="","",G17-I17)</f>
        <v/>
      </c>
      <c r="L17" s="228"/>
    </row>
    <row r="18" spans="2:13" ht="4.5" customHeight="1">
      <c r="B18" s="230"/>
      <c r="C18" s="230"/>
      <c r="D18" s="227"/>
      <c r="E18" s="244"/>
      <c r="F18" s="227"/>
      <c r="G18" s="245"/>
      <c r="H18" s="245"/>
      <c r="I18" s="246"/>
      <c r="J18" s="246"/>
      <c r="K18" s="246"/>
      <c r="L18" s="247"/>
      <c r="M18" s="247"/>
    </row>
    <row r="19" spans="2:13">
      <c r="B19" s="230" t="s">
        <v>184</v>
      </c>
      <c r="C19" s="230" t="s">
        <v>342</v>
      </c>
      <c r="D19" s="230"/>
      <c r="E19" s="433"/>
      <c r="F19" s="230"/>
      <c r="G19" s="432">
        <f>E19*E17/100</f>
        <v>0</v>
      </c>
      <c r="H19" s="231"/>
      <c r="I19" s="417" t="str">
        <f>IF(E19="","",'Coef+Ind'!E7/'Coef+Ind'!E6)</f>
        <v/>
      </c>
      <c r="J19" s="231"/>
      <c r="K19" s="348" t="str">
        <f>IF(E19="","",E19-I19)</f>
        <v/>
      </c>
      <c r="L19" s="228"/>
    </row>
    <row r="20" spans="2:13">
      <c r="B20" s="249"/>
      <c r="C20" s="249"/>
      <c r="D20" s="249"/>
      <c r="E20" s="249"/>
      <c r="F20" s="249"/>
      <c r="G20" s="250"/>
      <c r="H20" s="249"/>
      <c r="I20" s="249"/>
      <c r="J20" s="249"/>
      <c r="K20" s="249"/>
      <c r="L20" s="228"/>
    </row>
    <row r="21" spans="2:13" ht="15.75" customHeight="1" outlineLevel="1">
      <c r="B21" s="251" t="s">
        <v>10</v>
      </c>
      <c r="C21" s="252"/>
      <c r="D21" s="230"/>
      <c r="E21" s="253"/>
      <c r="F21" s="235"/>
      <c r="G21" s="350"/>
      <c r="H21" s="232"/>
      <c r="I21" s="232"/>
      <c r="J21" s="232"/>
      <c r="K21" s="232"/>
      <c r="L21" s="228"/>
    </row>
    <row r="22" spans="2:13" ht="15.75" outlineLevel="1">
      <c r="B22" s="254"/>
      <c r="C22" s="254"/>
      <c r="D22" s="254"/>
      <c r="E22" s="396"/>
      <c r="F22" s="351"/>
      <c r="G22" s="416" t="s">
        <v>34</v>
      </c>
      <c r="H22" s="351"/>
      <c r="I22" s="351"/>
      <c r="J22" s="351"/>
      <c r="K22" s="351"/>
      <c r="L22" s="228"/>
    </row>
    <row r="23" spans="2:13" outlineLevel="1">
      <c r="B23" s="230"/>
      <c r="C23" s="260"/>
      <c r="D23" s="230"/>
      <c r="E23" s="399" t="s">
        <v>85</v>
      </c>
      <c r="F23" s="277"/>
      <c r="G23" s="352"/>
      <c r="H23" s="352"/>
      <c r="I23" s="352"/>
      <c r="J23" s="349"/>
      <c r="K23" s="354"/>
      <c r="L23" s="228"/>
    </row>
    <row r="24" spans="2:13" ht="5.0999999999999996" customHeight="1" outlineLevel="1">
      <c r="B24" s="230"/>
      <c r="C24" s="260"/>
      <c r="D24" s="230"/>
      <c r="E24" s="260"/>
      <c r="F24" s="230"/>
      <c r="G24" s="353"/>
      <c r="H24" s="231"/>
      <c r="I24" s="259"/>
      <c r="J24" s="231"/>
      <c r="K24" s="258"/>
      <c r="L24" s="228"/>
    </row>
    <row r="25" spans="2:13" outlineLevel="1">
      <c r="B25" s="230" t="s">
        <v>335</v>
      </c>
      <c r="C25" s="261" t="s">
        <v>332</v>
      </c>
      <c r="D25" s="230"/>
      <c r="E25" s="419"/>
      <c r="F25" s="230"/>
      <c r="G25" s="286" t="str">
        <f>IF($E$35&lt;&gt;0,E25/$E$35,"")</f>
        <v/>
      </c>
      <c r="H25" s="231"/>
      <c r="I25" s="358" t="str">
        <f>IF(E25="","",13.8%)</f>
        <v/>
      </c>
      <c r="J25" s="231"/>
      <c r="K25" s="418" t="str">
        <f>IF(E25=0,"",E25-I25)</f>
        <v/>
      </c>
      <c r="L25" s="228"/>
    </row>
    <row r="26" spans="2:13" outlineLevel="1">
      <c r="B26" s="230"/>
      <c r="C26" s="261" t="s">
        <v>333</v>
      </c>
      <c r="D26" s="230"/>
      <c r="E26" s="419"/>
      <c r="F26" s="230"/>
      <c r="G26" s="286" t="str">
        <f>IF($E$35&lt;&gt;0,E26/$E$35,"")</f>
        <v/>
      </c>
      <c r="H26" s="231"/>
      <c r="I26" s="358" t="str">
        <f>IF(E26="","",3.7%)</f>
        <v/>
      </c>
      <c r="J26" s="231"/>
      <c r="K26" s="418" t="str">
        <f>IF(E26=0,"",E26-I26)</f>
        <v/>
      </c>
      <c r="L26" s="228"/>
    </row>
    <row r="27" spans="2:13" outlineLevel="1">
      <c r="B27" s="230"/>
      <c r="C27" s="261" t="s">
        <v>334</v>
      </c>
      <c r="D27" s="230"/>
      <c r="E27" s="419"/>
      <c r="F27" s="230"/>
      <c r="G27" s="286" t="str">
        <f>IF($E$35&lt;&gt;0,E27/$E$35,"")</f>
        <v/>
      </c>
      <c r="H27" s="231"/>
      <c r="I27" s="358" t="str">
        <f>IF(E27="","",4.2%)</f>
        <v/>
      </c>
      <c r="J27" s="231"/>
      <c r="K27" s="418" t="str">
        <f>IF(E27=0,"",E27-I27)</f>
        <v/>
      </c>
      <c r="L27" s="228"/>
    </row>
    <row r="28" spans="2:13" ht="5.0999999999999996" customHeight="1" outlineLevel="1">
      <c r="E28" s="356"/>
      <c r="F28" s="356"/>
      <c r="G28" s="356"/>
      <c r="H28" s="356"/>
      <c r="I28" s="356"/>
      <c r="J28" s="356"/>
      <c r="K28" s="356"/>
    </row>
    <row r="29" spans="2:13" ht="5.0999999999999996" customHeight="1" outlineLevel="1">
      <c r="E29" s="228"/>
      <c r="F29" s="228"/>
      <c r="G29" s="228"/>
      <c r="H29" s="228"/>
      <c r="I29" s="228"/>
      <c r="J29" s="228"/>
      <c r="K29" s="228"/>
    </row>
    <row r="30" spans="2:13" outlineLevel="1">
      <c r="B30" s="230"/>
      <c r="C30" s="260"/>
      <c r="D30" s="230"/>
      <c r="E30" s="399" t="s">
        <v>338</v>
      </c>
      <c r="F30" s="277"/>
      <c r="G30" s="352"/>
      <c r="H30" s="352"/>
      <c r="I30" s="352"/>
      <c r="J30" s="349"/>
      <c r="K30" s="354"/>
      <c r="L30" s="228"/>
    </row>
    <row r="31" spans="2:13" ht="5.0999999999999996" customHeight="1" outlineLevel="1">
      <c r="B31" s="230"/>
      <c r="C31" s="260"/>
      <c r="D31" s="230"/>
      <c r="E31" s="260"/>
      <c r="F31" s="230"/>
      <c r="G31" s="353"/>
      <c r="H31" s="231"/>
      <c r="I31" s="259"/>
      <c r="J31" s="231"/>
      <c r="K31" s="258"/>
      <c r="L31" s="228"/>
    </row>
    <row r="32" spans="2:13" outlineLevel="1">
      <c r="B32" s="230" t="s">
        <v>336</v>
      </c>
      <c r="C32" s="261" t="s">
        <v>333</v>
      </c>
      <c r="D32" s="230"/>
      <c r="E32" s="357"/>
      <c r="F32" s="230"/>
      <c r="G32" s="286" t="str">
        <f t="shared" ref="G32:G33" si="0">IF($E$35&lt;&gt;0,E32/$E$35,"")</f>
        <v/>
      </c>
      <c r="H32" s="231"/>
      <c r="I32" s="420" t="str">
        <f>IF(E32="","",420)</f>
        <v/>
      </c>
      <c r="J32" s="231"/>
      <c r="K32" s="420" t="str">
        <f>IF(E32=0,"",E32-I32)</f>
        <v/>
      </c>
      <c r="L32" s="228"/>
    </row>
    <row r="33" spans="2:13" outlineLevel="1">
      <c r="B33" s="230"/>
      <c r="C33" s="261" t="s">
        <v>334</v>
      </c>
      <c r="D33" s="230"/>
      <c r="E33" s="357"/>
      <c r="F33" s="230"/>
      <c r="G33" s="286" t="str">
        <f t="shared" si="0"/>
        <v/>
      </c>
      <c r="H33" s="231"/>
      <c r="I33" s="420" t="str">
        <f>IF(E33="","",861)</f>
        <v/>
      </c>
      <c r="J33" s="231"/>
      <c r="K33" s="420" t="str">
        <f>IF(E33=0,"",E33-I33)</f>
        <v/>
      </c>
      <c r="L33" s="228"/>
    </row>
    <row r="34" spans="2:13" ht="5.0999999999999996" customHeight="1" outlineLevel="1">
      <c r="E34" s="356"/>
      <c r="F34" s="356"/>
      <c r="G34" s="356"/>
      <c r="H34" s="356"/>
      <c r="I34" s="356"/>
      <c r="J34" s="356"/>
      <c r="K34" s="356"/>
    </row>
    <row r="35" spans="2:13" outlineLevel="1">
      <c r="B35" s="230"/>
      <c r="C35" s="232"/>
      <c r="D35" s="230"/>
      <c r="E35" s="243"/>
      <c r="F35" s="230"/>
      <c r="G35" s="355"/>
      <c r="H35" s="231"/>
      <c r="I35" s="286"/>
      <c r="J35" s="231"/>
      <c r="K35" s="258"/>
      <c r="L35" s="228"/>
    </row>
    <row r="36" spans="2:13" outlineLevel="1">
      <c r="B36" s="254"/>
      <c r="C36" s="230"/>
      <c r="D36" s="230"/>
      <c r="E36" s="255"/>
      <c r="F36" s="256"/>
      <c r="G36" s="352"/>
      <c r="H36" s="257"/>
      <c r="I36" s="644" t="str">
        <f>IF(E10&lt;&gt;0,E10,"")</f>
        <v>par porc</v>
      </c>
      <c r="J36" s="644"/>
      <c r="K36" s="644"/>
      <c r="L36" s="228"/>
    </row>
    <row r="37" spans="2:13" ht="4.5" customHeight="1" outlineLevel="1">
      <c r="B37" s="230"/>
      <c r="C37" s="230"/>
      <c r="D37" s="227"/>
      <c r="E37" s="227"/>
      <c r="F37" s="227"/>
      <c r="G37" s="245"/>
      <c r="H37" s="245"/>
      <c r="I37" s="246"/>
      <c r="J37" s="246"/>
      <c r="K37" s="246"/>
      <c r="L37" s="247"/>
      <c r="M37" s="247"/>
    </row>
    <row r="38" spans="2:13" ht="4.5" customHeight="1" outlineLevel="1">
      <c r="B38" s="230"/>
      <c r="C38" s="230"/>
      <c r="D38" s="227"/>
      <c r="E38" s="227"/>
      <c r="F38" s="227"/>
      <c r="G38" s="245"/>
      <c r="H38" s="245"/>
      <c r="I38" s="246"/>
      <c r="J38" s="246"/>
      <c r="K38" s="246"/>
      <c r="L38" s="247"/>
      <c r="M38" s="247"/>
    </row>
    <row r="39" spans="2:13" outlineLevel="1">
      <c r="B39" s="230" t="s">
        <v>5</v>
      </c>
      <c r="C39" s="261" t="s">
        <v>7</v>
      </c>
      <c r="D39" s="230"/>
      <c r="E39" s="386"/>
      <c r="F39" s="230"/>
      <c r="G39" s="348" t="str">
        <f>IF(AND($E$10=Lég_Choix!B27,$E$17&gt;0,E39&gt;0),E39/$E$17,IF(AND($E$10=Lég_Choix!B28,$G$19&gt;0,E39&gt;0),E39/$G$19,IF(AND($E$10=Lég_Choix!B29,E39&gt;0),E39/$E$42,"")))</f>
        <v/>
      </c>
      <c r="H39" s="262"/>
      <c r="I39" s="431" t="str">
        <f>IF(OR(E8="",E10="",E39=""),"",'Coef+Ind'!J238)</f>
        <v/>
      </c>
      <c r="J39" s="262"/>
      <c r="K39" s="348" t="str">
        <f>IF(AND($E$8&lt;&gt;"",$E$10&lt;&gt;""),IF(E39=0,"",G39-I39),"")</f>
        <v/>
      </c>
      <c r="L39" s="228"/>
    </row>
    <row r="40" spans="2:13" outlineLevel="1">
      <c r="B40" s="227"/>
      <c r="C40" s="261" t="s">
        <v>8</v>
      </c>
      <c r="D40" s="230"/>
      <c r="E40" s="386"/>
      <c r="F40" s="230"/>
      <c r="G40" s="348" t="str">
        <f>IF(AND($E$10=Lég_Choix!B27,$E$17&gt;0,E40&gt;0),E40/$E$17,IF(AND($E$10=Lég_Choix!B28,$G$19&gt;0,E40&gt;0),E40/$G$19,IF(AND($E$10=Lég_Choix!B29,E40&gt;0),E40/$E$42,"")))</f>
        <v/>
      </c>
      <c r="H40" s="262"/>
      <c r="I40" s="431" t="str">
        <f>IF(OR(E8="",E10="",E40=""),"",'Coef+Ind'!J239+'Coef+Ind'!J240+'Coef+Ind'!J241)</f>
        <v/>
      </c>
      <c r="J40" s="262"/>
      <c r="K40" s="348" t="str">
        <f t="shared" ref="K40:K41" si="1">IF(AND($E$8&lt;&gt;"",$E$10&lt;&gt;""),IF(E40=0,"",G40-I40),"")</f>
        <v/>
      </c>
      <c r="L40" s="228"/>
    </row>
    <row r="41" spans="2:13" outlineLevel="1">
      <c r="B41" s="227"/>
      <c r="C41" s="261" t="s">
        <v>9</v>
      </c>
      <c r="D41" s="230"/>
      <c r="E41" s="386"/>
      <c r="F41" s="230"/>
      <c r="G41" s="348" t="str">
        <f>IF(AND($E$10=Lég_Choix!B27,$E$17&gt;0,E41&gt;0),E41/$E$17,IF(AND($E$10=Lég_Choix!B28,$G$19&gt;0,E41&gt;0),E41/$G$19,IF(AND($E$10=Lég_Choix!B29,E41&gt;0),E41/$E$42,"")))</f>
        <v/>
      </c>
      <c r="H41" s="262"/>
      <c r="I41" s="431" t="str">
        <f>IF(OR(E8="",E10="",E41=""),"",'Coef+Ind'!J242)</f>
        <v/>
      </c>
      <c r="J41" s="262"/>
      <c r="K41" s="348" t="str">
        <f t="shared" si="1"/>
        <v/>
      </c>
      <c r="L41" s="228"/>
    </row>
    <row r="42" spans="2:13" outlineLevel="1">
      <c r="B42" s="230"/>
      <c r="C42" s="232" t="s">
        <v>6</v>
      </c>
      <c r="D42" s="230"/>
      <c r="E42" s="248">
        <f>SUM(E39:E41)</f>
        <v>0</v>
      </c>
      <c r="F42" s="230"/>
      <c r="G42" s="243"/>
      <c r="H42" s="243"/>
      <c r="I42" s="259" t="str">
        <f>IF(AND(I39="",I40="",I41=""),"",SUM(I39:I41))</f>
        <v/>
      </c>
      <c r="J42" s="243"/>
      <c r="K42" s="243"/>
      <c r="L42" s="228"/>
    </row>
    <row r="43" spans="2:13" ht="15.75" customHeight="1">
      <c r="B43" s="251" t="s">
        <v>10</v>
      </c>
      <c r="C43" s="252"/>
      <c r="D43" s="230"/>
      <c r="E43" s="253"/>
      <c r="H43" s="232"/>
      <c r="I43" s="232"/>
      <c r="J43" s="232"/>
      <c r="K43" s="232"/>
      <c r="L43" s="228"/>
    </row>
    <row r="44" spans="2:13" ht="15" customHeight="1">
      <c r="B44" s="249"/>
      <c r="C44" s="249"/>
      <c r="D44" s="249"/>
      <c r="E44" s="249"/>
      <c r="F44" s="249"/>
      <c r="G44" s="263"/>
      <c r="H44" s="249"/>
      <c r="I44" s="249"/>
      <c r="J44" s="249"/>
      <c r="K44" s="249"/>
      <c r="L44" s="228"/>
    </row>
    <row r="45" spans="2:13" outlineLevel="1">
      <c r="B45" s="251" t="s">
        <v>11</v>
      </c>
      <c r="C45" s="252"/>
      <c r="D45" s="230"/>
      <c r="E45" s="230"/>
      <c r="F45" s="230"/>
      <c r="G45" s="230"/>
      <c r="H45" s="230"/>
      <c r="I45" s="230"/>
      <c r="J45" s="230"/>
      <c r="K45" s="230"/>
      <c r="L45" s="228"/>
    </row>
    <row r="46" spans="2:13" ht="15.75" customHeight="1" outlineLevel="1">
      <c r="B46" s="230"/>
      <c r="C46" s="230"/>
      <c r="D46" s="230"/>
      <c r="E46" s="643" t="s">
        <v>2</v>
      </c>
      <c r="F46" s="643"/>
      <c r="G46" s="643"/>
      <c r="H46" s="236"/>
      <c r="I46" s="640"/>
      <c r="J46" s="236"/>
      <c r="K46" s="643"/>
      <c r="L46" s="228"/>
    </row>
    <row r="47" spans="2:13" ht="4.5" customHeight="1" outlineLevel="1">
      <c r="B47" s="230"/>
      <c r="C47" s="230"/>
      <c r="D47" s="227"/>
      <c r="E47" s="643"/>
      <c r="F47" s="643"/>
      <c r="G47" s="643"/>
      <c r="H47" s="264"/>
      <c r="I47" s="640"/>
      <c r="J47" s="265"/>
      <c r="K47" s="643"/>
      <c r="L47" s="247"/>
      <c r="M47" s="247"/>
    </row>
    <row r="48" spans="2:13" ht="15.75" customHeight="1" outlineLevel="1">
      <c r="B48" s="266" t="s">
        <v>143</v>
      </c>
      <c r="C48" s="267"/>
      <c r="D48" s="267"/>
      <c r="E48" s="397" t="s">
        <v>6</v>
      </c>
      <c r="F48" s="255"/>
      <c r="G48" s="397" t="str">
        <f>IF(E10&lt;&gt;0,E10,"")</f>
        <v>par porc</v>
      </c>
      <c r="H48" s="255"/>
      <c r="I48" s="641"/>
      <c r="J48" s="399"/>
      <c r="K48" s="645"/>
      <c r="L48" s="228"/>
    </row>
    <row r="49" spans="2:13" outlineLevel="1">
      <c r="B49" s="230" t="s">
        <v>108</v>
      </c>
      <c r="C49" s="230"/>
      <c r="D49" s="230"/>
      <c r="E49" s="2"/>
      <c r="F49" s="268"/>
      <c r="G49" s="421" t="str">
        <f>IF(AND($E$10=Lég_Choix!B27,$E$17&gt;0,E49&gt;0),E49/$E$17,IF(AND($E$10=Lég_Choix!B28,$G$19&gt;0,E49&gt;0),E49/$G$19,IF(AND($E$10=Lég_Choix!B29,E49&gt;0),E49/$E$58,"")))</f>
        <v/>
      </c>
      <c r="H49" s="422"/>
      <c r="I49" s="318" t="str">
        <f>IF(OR(E8="",E10="",E49=""),"",'Coef+Ind'!J247)</f>
        <v/>
      </c>
      <c r="J49" s="423"/>
      <c r="K49" s="296" t="str">
        <f>IF(AND(G49&lt;&gt;0,I49&lt;&gt;""),G49-I49,"")</f>
        <v/>
      </c>
      <c r="L49" s="228"/>
    </row>
    <row r="50" spans="2:13" outlineLevel="1">
      <c r="B50" s="230" t="s">
        <v>112</v>
      </c>
      <c r="C50" s="230"/>
      <c r="D50" s="230"/>
      <c r="E50" s="373">
        <f>SUM(E51:E56)</f>
        <v>0</v>
      </c>
      <c r="F50" s="268"/>
      <c r="G50" s="421" t="str">
        <f>IF(AND($E$10=Lég_Choix!B27,$E$17&gt;0,E50&gt;0),E50/$E$17,IF(AND($E$10=Lég_Choix!B28,$G$19&gt;0,E50&gt;0),E50/$G$19,IF(AND($E$10=Lég_Choix!B29,E50&gt;0),E50/$E$58,"")))</f>
        <v/>
      </c>
      <c r="H50" s="422"/>
      <c r="I50" s="318" t="str">
        <f>IF(OR(E8="",E10="",E50=0),"",'Coef+Ind'!J248)</f>
        <v/>
      </c>
      <c r="J50" s="423"/>
      <c r="K50" s="296" t="str">
        <f t="shared" ref="K50:K56" si="2">IF(AND(G50&lt;&gt;0,I50&lt;&gt;""),G50-I50,"")</f>
        <v/>
      </c>
      <c r="L50" s="228"/>
    </row>
    <row r="51" spans="2:13" outlineLevel="1">
      <c r="B51" s="227"/>
      <c r="C51" s="261" t="s">
        <v>292</v>
      </c>
      <c r="D51" s="230"/>
      <c r="E51" s="371"/>
      <c r="F51" s="270"/>
      <c r="G51" s="425" t="str">
        <f>IF(AND($E$10=Lég_Choix!B27,$E$17&gt;0,E51&gt;0),E51/$E$17,IF(AND($E$10=Lég_Choix!B28,$G$19&gt;0,E51&gt;0),E51/$G$19,IF(AND($E$10=Lég_Choix!B29,E51&gt;0),E51/$E$58,"")))</f>
        <v/>
      </c>
      <c r="H51" s="424"/>
      <c r="I51" s="425" t="str">
        <f>IF(OR(E8="",E10="",E51=""),"",'Coef+Ind'!J249)</f>
        <v/>
      </c>
      <c r="J51" s="423"/>
      <c r="K51" s="425" t="str">
        <f t="shared" si="2"/>
        <v/>
      </c>
      <c r="L51" s="228"/>
    </row>
    <row r="52" spans="2:13" outlineLevel="1">
      <c r="B52" s="227"/>
      <c r="C52" s="261" t="s">
        <v>109</v>
      </c>
      <c r="D52" s="230"/>
      <c r="E52" s="371"/>
      <c r="F52" s="270"/>
      <c r="G52" s="425" t="str">
        <f>IF(AND($E$10=Lég_Choix!B27,$E$17&gt;0,E52&gt;0),E52/$E$17,IF(AND($E$10=Lég_Choix!B28,$G$19&gt;0,E52&gt;0),E52/$G$19,IF(AND($E$10=Lég_Choix!B29,E52&gt;0),E52/$E$58,"")))</f>
        <v/>
      </c>
      <c r="H52" s="424"/>
      <c r="I52" s="425" t="str">
        <f>IF(OR(E8="",E10="",E52=""),"",'Coef+Ind'!J250)</f>
        <v/>
      </c>
      <c r="J52" s="423"/>
      <c r="K52" s="425" t="str">
        <f>IF(AND(G52&lt;&gt;0,I52&lt;&gt;""),G52-I52,"")</f>
        <v/>
      </c>
      <c r="L52" s="228"/>
    </row>
    <row r="53" spans="2:13" outlineLevel="1">
      <c r="B53" s="227"/>
      <c r="C53" s="261" t="s">
        <v>48</v>
      </c>
      <c r="D53" s="230"/>
      <c r="E53" s="371"/>
      <c r="F53" s="270"/>
      <c r="G53" s="425" t="str">
        <f>IF(AND($E$10=Lég_Choix!B27,$E$17&gt;0,E53&gt;0),E53/$E$17,IF(AND($E$10=Lég_Choix!B28,$G$19&gt;0,E53&gt;0),E53/$G$19,IF(AND($E$10=Lég_Choix!B29,E53&gt;0),E53/$E$58,"")))</f>
        <v/>
      </c>
      <c r="H53" s="424"/>
      <c r="I53" s="425" t="str">
        <f>IF(OR(E8="",E10="",E53=""),"",'Coef+Ind'!J251)</f>
        <v/>
      </c>
      <c r="J53" s="423"/>
      <c r="K53" s="425" t="str">
        <f t="shared" si="2"/>
        <v/>
      </c>
      <c r="L53" s="228"/>
      <c r="M53" s="370"/>
    </row>
    <row r="54" spans="2:13" outlineLevel="1">
      <c r="B54" s="227"/>
      <c r="C54" s="261" t="s">
        <v>59</v>
      </c>
      <c r="D54" s="230"/>
      <c r="E54" s="371"/>
      <c r="F54" s="270"/>
      <c r="G54" s="425" t="str">
        <f>IF(AND($E$10=Lég_Choix!B27,$E$17&gt;0,E54&gt;0),E54/$E$17,IF(AND($E$10=Lég_Choix!B28,$G$19&gt;0,E54&gt;0),E54/$G$19,IF(AND($E$10=Lég_Choix!B29,E54&gt;0),E54/$E$58,"")))</f>
        <v/>
      </c>
      <c r="H54" s="424"/>
      <c r="I54" s="425" t="str">
        <f>IF(OR(E8="",E10="",E54=""),"",'Coef+Ind'!J252)</f>
        <v/>
      </c>
      <c r="J54" s="423"/>
      <c r="K54" s="425" t="str">
        <f t="shared" si="2"/>
        <v/>
      </c>
      <c r="L54" s="228"/>
    </row>
    <row r="55" spans="2:13" outlineLevel="1">
      <c r="B55" s="227"/>
      <c r="C55" s="261" t="s">
        <v>110</v>
      </c>
      <c r="D55" s="230"/>
      <c r="E55" s="371"/>
      <c r="F55" s="270"/>
      <c r="G55" s="425" t="str">
        <f>IF(AND($E$10=Lég_Choix!B27,$E$17&gt;0,E55&gt;0),E55/$E$17,IF(AND($E$10=Lég_Choix!B28,$G$19&gt;0,E55&gt;0),E55/$G$19,IF(AND($E$10=Lég_Choix!B29,E55&gt;0),E55/$E$58,"")))</f>
        <v/>
      </c>
      <c r="H55" s="424"/>
      <c r="I55" s="425" t="str">
        <f>IF(OR(E8="",E10="",E55=""),"",'Coef+Ind'!J253)</f>
        <v/>
      </c>
      <c r="J55" s="423"/>
      <c r="K55" s="425" t="str">
        <f t="shared" si="2"/>
        <v/>
      </c>
      <c r="L55" s="228"/>
    </row>
    <row r="56" spans="2:13" outlineLevel="1">
      <c r="B56" s="227"/>
      <c r="C56" s="261" t="s">
        <v>142</v>
      </c>
      <c r="D56" s="230"/>
      <c r="E56" s="371"/>
      <c r="F56" s="270"/>
      <c r="G56" s="425" t="str">
        <f>IF(AND($E$10=Lég_Choix!B27,$E$17&gt;0,E56&gt;0),E56/$E$17,IF(AND($E$10=Lég_Choix!B28,$G$19&gt;0,E56&gt;0),E56/$G$19,IF(AND($E$10=Lég_Choix!B29,E56&gt;0),E56/$E$58,"")))</f>
        <v/>
      </c>
      <c r="H56" s="424"/>
      <c r="I56" s="425" t="str">
        <f>IF(OR(E8="",E10="",E56=""),"",'Coef+Ind'!J254)</f>
        <v/>
      </c>
      <c r="J56" s="423"/>
      <c r="K56" s="425" t="str">
        <f t="shared" si="2"/>
        <v/>
      </c>
      <c r="L56" s="228"/>
    </row>
    <row r="57" spans="2:13" ht="4.5" customHeight="1" outlineLevel="1">
      <c r="B57" s="249"/>
      <c r="C57" s="249"/>
      <c r="D57" s="249"/>
      <c r="E57" s="271"/>
      <c r="F57" s="271"/>
      <c r="G57" s="272"/>
      <c r="H57" s="249"/>
      <c r="I57" s="249"/>
      <c r="J57" s="249"/>
      <c r="K57" s="271"/>
      <c r="L57" s="228"/>
    </row>
    <row r="58" spans="2:13" outlineLevel="1">
      <c r="B58" s="230" t="s">
        <v>113</v>
      </c>
      <c r="C58" s="230"/>
      <c r="D58" s="230"/>
      <c r="E58" s="273">
        <f>E49+E50</f>
        <v>0</v>
      </c>
      <c r="F58" s="274"/>
      <c r="G58" s="426" t="str">
        <f>IF(AND(SUM(E49:E50)&gt;0,E10&lt;&gt;""),SUM(G49:G50),"")</f>
        <v/>
      </c>
      <c r="H58" s="427"/>
      <c r="I58" s="303" t="str">
        <f>IF(OR(I49="",I50=""),"",SUM(I49:I50))</f>
        <v/>
      </c>
      <c r="J58" s="422"/>
      <c r="K58" s="303" t="str">
        <f>IF(I58="","",IF(OR($E$10=Lég_Choix!B29,G58=""),"",G58-I58))</f>
        <v/>
      </c>
      <c r="L58" s="228"/>
    </row>
    <row r="59" spans="2:13" outlineLevel="1">
      <c r="B59" s="230"/>
      <c r="C59" s="230"/>
      <c r="D59" s="230"/>
      <c r="E59" s="270"/>
      <c r="F59" s="270"/>
      <c r="G59" s="275"/>
      <c r="H59" s="254"/>
      <c r="I59" s="275"/>
      <c r="J59" s="254"/>
      <c r="K59" s="276"/>
      <c r="L59" s="228"/>
    </row>
    <row r="60" spans="2:13" outlineLevel="1">
      <c r="B60" s="266" t="s">
        <v>114</v>
      </c>
      <c r="C60" s="267"/>
      <c r="D60" s="277"/>
      <c r="E60" s="278"/>
      <c r="F60" s="278"/>
      <c r="G60" s="279"/>
      <c r="H60" s="280"/>
      <c r="I60" s="279"/>
      <c r="J60" s="280"/>
      <c r="K60" s="279"/>
      <c r="L60" s="228"/>
    </row>
    <row r="61" spans="2:13" outlineLevel="1">
      <c r="B61" s="254" t="s">
        <v>117</v>
      </c>
      <c r="C61" s="232"/>
      <c r="D61" s="230"/>
      <c r="E61" s="3"/>
      <c r="F61" s="270"/>
      <c r="G61" s="318" t="str">
        <f>IF(AND($E$10=Lég_Choix!B27,$E$17&gt;0,E61&gt;0),E61/$E$17,IF(AND($E$10=Lég_Choix!B28,$G$19&gt;0,E61&gt;0),E61/$G$19,IF(AND($E$10=Lég_Choix!B29,E61&gt;0),E61/$E$65,"")))</f>
        <v/>
      </c>
      <c r="H61" s="422"/>
      <c r="I61" s="318" t="str">
        <f>IF(OR(E8="",E10="",E61=""),"",'Coef+Ind'!J257)</f>
        <v/>
      </c>
      <c r="J61" s="422"/>
      <c r="K61" s="296" t="str">
        <f t="shared" ref="K61" si="3">IF(AND(G61&lt;&gt;0,I61&lt;&gt;""),G61-I61,"")</f>
        <v/>
      </c>
      <c r="L61" s="228"/>
    </row>
    <row r="62" spans="2:13" ht="4.5" customHeight="1" outlineLevel="1">
      <c r="B62" s="254"/>
      <c r="C62" s="230"/>
      <c r="D62" s="227"/>
      <c r="E62" s="281"/>
      <c r="F62" s="281"/>
      <c r="G62" s="296"/>
      <c r="H62" s="296"/>
      <c r="I62" s="298"/>
      <c r="J62" s="298"/>
      <c r="K62" s="298"/>
      <c r="L62" s="247"/>
      <c r="M62" s="247"/>
    </row>
    <row r="63" spans="2:13" outlineLevel="1">
      <c r="B63" s="254" t="s">
        <v>118</v>
      </c>
      <c r="C63" s="232"/>
      <c r="D63" s="230"/>
      <c r="E63" s="3"/>
      <c r="F63" s="270"/>
      <c r="G63" s="318" t="str">
        <f>IF(AND($E$10=Lég_Choix!B27,$E$17&gt;0,E63&gt;0),E63/$E$17,IF(AND($E$10=Lég_Choix!B28,$G$19&gt;0,E63&gt;0),E63/$G$19,IF(AND($E$10=Lég_Choix!B29,E63&gt;0),E63/$E$65,"")))</f>
        <v/>
      </c>
      <c r="H63" s="422"/>
      <c r="I63" s="318" t="str">
        <f>IF(OR(E8="",E10="",E63=""),"",'Coef+Ind'!J258)</f>
        <v/>
      </c>
      <c r="J63" s="422"/>
      <c r="K63" s="296" t="str">
        <f t="shared" ref="K63" si="4">IF(AND(G63&lt;&gt;0,I63&lt;&gt;""),G63-I63,"")</f>
        <v/>
      </c>
      <c r="L63" s="228"/>
    </row>
    <row r="64" spans="2:13" ht="4.5" customHeight="1" outlineLevel="1">
      <c r="B64" s="249"/>
      <c r="C64" s="249"/>
      <c r="D64" s="249"/>
      <c r="E64" s="271"/>
      <c r="F64" s="271"/>
      <c r="G64" s="428"/>
      <c r="H64" s="429"/>
      <c r="I64" s="327"/>
      <c r="J64" s="429"/>
      <c r="K64" s="429"/>
      <c r="L64" s="228"/>
    </row>
    <row r="65" spans="2:13" outlineLevel="1">
      <c r="B65" s="230" t="s">
        <v>119</v>
      </c>
      <c r="C65" s="230"/>
      <c r="D65" s="230"/>
      <c r="E65" s="369">
        <f>E61+E63</f>
        <v>0</v>
      </c>
      <c r="F65" s="274"/>
      <c r="G65" s="303" t="str">
        <f>IF(AND(G61="",G63=""),"",IF(AND(G61&lt;&gt;0,G63=""),G61,IF(AND(G61="",G63&lt;&gt;0),G63,G61+G63)))</f>
        <v/>
      </c>
      <c r="H65" s="304"/>
      <c r="I65" s="303" t="str">
        <f>IF(OR(E8="",E10="",I61="",I63=""),"",I61+I63)</f>
        <v/>
      </c>
      <c r="J65" s="305"/>
      <c r="K65" s="303" t="str">
        <f>IF(AND($E$8&lt;&gt;"",$E$10&lt;&gt;"",K61&lt;&gt;"",K63&lt;&gt;""),IF(OR($E$10=Lég_Choix!B29,G65=""),"",G65-I65),"")</f>
        <v/>
      </c>
      <c r="L65" s="228"/>
    </row>
    <row r="66" spans="2:13" outlineLevel="1">
      <c r="B66" s="249"/>
      <c r="C66" s="249"/>
      <c r="D66" s="233"/>
      <c r="E66" s="283"/>
      <c r="F66" s="283"/>
      <c r="G66" s="283"/>
      <c r="H66" s="284"/>
      <c r="I66" s="283"/>
      <c r="J66" s="284"/>
      <c r="K66" s="283"/>
      <c r="L66" s="228"/>
    </row>
    <row r="67" spans="2:13" outlineLevel="1">
      <c r="B67" s="230" t="s">
        <v>120</v>
      </c>
      <c r="C67" s="230"/>
      <c r="D67" s="230"/>
      <c r="E67" s="369">
        <f>E58-E65</f>
        <v>0</v>
      </c>
      <c r="F67" s="274"/>
      <c r="G67" s="426" t="str">
        <f>IF(AND($E$10=Lég_Choix!B27,$E$17&gt;0,E67&gt;0),E67/$E$17,IF(AND($E$10=Lég_Choix!B28,$G$19&gt;0,E67&gt;0),E67/$G$19,IF(AND($E$10=Lég_Choix!B29,E67&gt;0),E67/$E$58,"")))</f>
        <v/>
      </c>
      <c r="H67" s="304"/>
      <c r="I67" s="426" t="str">
        <f>IF(OR(I58="",I65=""),"",IF(OR(E8="",E67=0),"",IF(OR(E10=Lég_Choix!B27,E10=Lég_Choix!B28),I58-I65,IF(E10=Lég_Choix!B29,('Coef+Ind'!D246-'Coef+Ind'!D256)/'Coef+Ind'!D246,""))))</f>
        <v/>
      </c>
      <c r="J67" s="305"/>
      <c r="K67" s="426" t="str">
        <f t="shared" ref="K67" si="5">IF(AND(G67&lt;&gt;0,I67&lt;&gt;""),G67-I67,"")</f>
        <v/>
      </c>
      <c r="L67" s="228"/>
    </row>
    <row r="68" spans="2:13" ht="4.5" customHeight="1" outlineLevel="1">
      <c r="B68" s="230"/>
      <c r="C68" s="230"/>
      <c r="D68" s="227"/>
      <c r="E68" s="227"/>
      <c r="F68" s="227"/>
      <c r="G68" s="245"/>
      <c r="H68" s="245"/>
      <c r="I68" s="246"/>
      <c r="J68" s="246"/>
      <c r="K68" s="246"/>
      <c r="L68" s="247"/>
      <c r="M68" s="247"/>
    </row>
    <row r="69" spans="2:13" outlineLevel="1">
      <c r="B69" s="230" t="s">
        <v>121</v>
      </c>
      <c r="C69" s="230"/>
      <c r="D69" s="230"/>
      <c r="E69" s="372" t="str">
        <f>IF(E58&lt;&gt;0,E65/E58,"")</f>
        <v/>
      </c>
      <c r="F69" s="230"/>
      <c r="G69" s="285"/>
      <c r="H69" s="232"/>
      <c r="I69" s="285" t="str">
        <f>IF(OR(E69="",E10="",E8=""),"",'Coef+Ind'!J260)</f>
        <v/>
      </c>
      <c r="J69" s="285"/>
      <c r="K69" s="285" t="str">
        <f>IF(I69="","",E69-I69)</f>
        <v/>
      </c>
      <c r="L69" s="228"/>
    </row>
    <row r="70" spans="2:13" outlineLevel="1">
      <c r="B70" s="230"/>
      <c r="C70" s="230"/>
      <c r="D70" s="230"/>
      <c r="E70" s="230"/>
      <c r="F70" s="230"/>
      <c r="G70" s="285"/>
      <c r="H70" s="232"/>
      <c r="I70" s="285"/>
      <c r="J70" s="286"/>
      <c r="K70" s="287"/>
      <c r="L70" s="228"/>
    </row>
    <row r="71" spans="2:13">
      <c r="B71" s="251" t="s">
        <v>11</v>
      </c>
      <c r="C71" s="252"/>
      <c r="D71" s="230"/>
      <c r="E71" s="230"/>
      <c r="F71" s="230"/>
      <c r="G71" s="230"/>
      <c r="H71" s="230"/>
      <c r="I71" s="230"/>
      <c r="J71" s="230"/>
      <c r="K71" s="230"/>
      <c r="L71" s="228"/>
    </row>
    <row r="72" spans="2:13">
      <c r="B72" s="249"/>
      <c r="C72" s="249"/>
      <c r="D72" s="249"/>
      <c r="E72" s="249"/>
      <c r="F72" s="249"/>
      <c r="G72" s="249"/>
      <c r="H72" s="249"/>
      <c r="I72" s="249"/>
      <c r="J72" s="249"/>
      <c r="K72" s="249"/>
      <c r="L72" s="228"/>
    </row>
    <row r="73" spans="2:13">
      <c r="B73" s="646" t="s">
        <v>37</v>
      </c>
      <c r="C73" s="646"/>
      <c r="D73" s="646"/>
      <c r="E73" s="646"/>
      <c r="F73" s="646"/>
      <c r="G73" s="646"/>
      <c r="H73" s="646"/>
      <c r="I73" s="646"/>
      <c r="J73" s="646"/>
      <c r="K73" s="646"/>
      <c r="L73" s="228"/>
    </row>
    <row r="74" spans="2:13" ht="4.5" customHeight="1">
      <c r="B74" s="230"/>
      <c r="C74" s="230"/>
      <c r="D74" s="230"/>
      <c r="E74" s="642"/>
      <c r="F74" s="642"/>
      <c r="G74" s="642"/>
      <c r="H74" s="230"/>
      <c r="I74" s="230"/>
      <c r="J74" s="230"/>
      <c r="K74" s="230"/>
      <c r="L74" s="228"/>
    </row>
    <row r="75" spans="2:13" ht="30" customHeight="1" thickBot="1">
      <c r="B75" s="288"/>
      <c r="C75" s="288"/>
      <c r="D75" s="252"/>
      <c r="E75" s="289" t="s">
        <v>2</v>
      </c>
      <c r="F75" s="290"/>
      <c r="G75" s="401"/>
      <c r="H75" s="291"/>
      <c r="I75" s="292" t="str">
        <f>IF(E8&lt;&gt;0,E8,"")</f>
        <v>Indexation 2020</v>
      </c>
      <c r="J75" s="292"/>
      <c r="K75" s="402" t="s">
        <v>3</v>
      </c>
      <c r="L75" s="293"/>
      <c r="M75" s="247"/>
    </row>
    <row r="76" spans="2:13" ht="15.75" customHeight="1">
      <c r="B76" s="230"/>
      <c r="C76" s="230"/>
      <c r="D76" s="230"/>
      <c r="E76" s="230"/>
      <c r="F76" s="230"/>
      <c r="G76" s="294"/>
      <c r="H76" s="231"/>
      <c r="I76" s="244"/>
      <c r="J76" s="231"/>
      <c r="K76" s="243"/>
      <c r="L76" s="228"/>
    </row>
    <row r="77" spans="2:13" ht="4.5" customHeight="1">
      <c r="B77" s="230"/>
      <c r="C77" s="230"/>
      <c r="D77" s="227"/>
      <c r="E77" s="227"/>
      <c r="F77" s="227"/>
      <c r="G77" s="245"/>
      <c r="H77" s="245"/>
      <c r="I77" s="246"/>
      <c r="J77" s="246"/>
      <c r="K77" s="246"/>
      <c r="L77" s="247"/>
      <c r="M77" s="247"/>
    </row>
    <row r="78" spans="2:13">
      <c r="B78" s="4" t="s">
        <v>13</v>
      </c>
      <c r="C78" s="5"/>
      <c r="D78" s="252"/>
      <c r="E78" s="6"/>
      <c r="F78" s="6"/>
      <c r="G78" s="6"/>
      <c r="H78" s="6"/>
      <c r="I78" s="6"/>
      <c r="J78" s="6"/>
      <c r="K78" s="6"/>
      <c r="L78" s="228"/>
    </row>
    <row r="79" spans="2:13" ht="4.5" customHeight="1">
      <c r="B79" s="230"/>
      <c r="C79" s="295"/>
      <c r="D79" s="227"/>
      <c r="E79" s="227"/>
      <c r="F79" s="227"/>
      <c r="G79" s="245"/>
      <c r="H79" s="245"/>
      <c r="I79" s="246"/>
      <c r="J79" s="246"/>
      <c r="K79" s="246"/>
      <c r="L79" s="247"/>
      <c r="M79" s="247"/>
    </row>
    <row r="80" spans="2:13" ht="16.5" customHeight="1">
      <c r="B80" s="230" t="s">
        <v>355</v>
      </c>
      <c r="C80" s="295"/>
      <c r="D80" s="227"/>
      <c r="E80" s="3"/>
      <c r="F80" s="281"/>
      <c r="G80" s="296" t="str">
        <f>IF(AND($E$10=Lég_Choix!B27,$E$17&gt;0,E80&gt;0),E80/$E$17,IF(AND($E$10=Lég_Choix!B28,$G$19&gt;0,E80&gt;0),E80/$G$19,IF(AND($E$10=Lég_Choix!B29,E80&gt;0),E80/$E$97,"")))</f>
        <v/>
      </c>
      <c r="H80" s="297"/>
      <c r="I80" s="297" t="str">
        <f>IF(E80="","",IF(OR(E8="",E10=""),"",'Coef+Ind'!J230))</f>
        <v/>
      </c>
      <c r="J80" s="297"/>
      <c r="K80" s="296" t="str">
        <f>IF(OR(G80="",I80=""),"",G80-I80)</f>
        <v/>
      </c>
    </row>
    <row r="81" spans="2:13" ht="4.5" customHeight="1">
      <c r="B81" s="230"/>
      <c r="C81" s="295"/>
      <c r="D81" s="227"/>
      <c r="E81" s="281"/>
      <c r="F81" s="281"/>
      <c r="G81" s="296"/>
      <c r="H81" s="297"/>
      <c r="I81" s="296"/>
      <c r="J81" s="297"/>
      <c r="K81" s="296"/>
    </row>
    <row r="82" spans="2:13" ht="16.5" customHeight="1">
      <c r="B82" s="230" t="s">
        <v>363</v>
      </c>
      <c r="C82" s="295"/>
      <c r="D82" s="230"/>
      <c r="E82" s="3"/>
      <c r="F82" s="270"/>
      <c r="G82" s="296" t="str">
        <f>IF(AND($E$10=Lég_Choix!B27,$E$17&gt;0,E82&gt;0),E82/$E$17,IF(AND($E$10=Lég_Choix!B28,$G$19&gt;0,E82&gt;0),E82/$G$19,IF(AND($E$10=Lég_Choix!B29,E82&gt;0),E82/$E$97,"")))</f>
        <v/>
      </c>
      <c r="H82" s="281"/>
      <c r="I82" s="416" t="s">
        <v>34</v>
      </c>
      <c r="J82" s="281"/>
      <c r="K82" s="296"/>
    </row>
    <row r="83" spans="2:13" ht="4.5" customHeight="1">
      <c r="B83" s="230"/>
      <c r="C83" s="295"/>
      <c r="D83" s="227"/>
      <c r="E83" s="281"/>
      <c r="F83" s="281"/>
      <c r="G83" s="296"/>
      <c r="H83" s="297"/>
      <c r="I83" s="296"/>
      <c r="J83" s="297"/>
      <c r="K83" s="296"/>
    </row>
    <row r="84" spans="2:13" ht="16.5" customHeight="1">
      <c r="B84" s="582" t="s">
        <v>6</v>
      </c>
      <c r="C84" s="295"/>
      <c r="D84" s="230"/>
      <c r="E84" s="583">
        <f>E80+E82</f>
        <v>0</v>
      </c>
      <c r="F84" s="270"/>
      <c r="G84" s="554" t="str">
        <f>IF(AND(G80="",G82=""),"",IF(AND(G80&lt;&gt;"",G82=""),G80,G82+G80))</f>
        <v/>
      </c>
      <c r="H84" s="281"/>
      <c r="I84" s="584" t="str">
        <f>I80</f>
        <v/>
      </c>
      <c r="J84" s="296"/>
      <c r="K84" s="554" t="str">
        <f>IF(OR(G84="",I84=""),"",G84-I84)</f>
        <v/>
      </c>
    </row>
    <row r="85" spans="2:13" ht="4.5" customHeight="1">
      <c r="B85" s="277"/>
      <c r="C85" s="549"/>
      <c r="D85" s="277"/>
      <c r="E85" s="278"/>
      <c r="F85" s="278"/>
      <c r="G85" s="580"/>
      <c r="H85" s="580"/>
      <c r="I85" s="581"/>
      <c r="J85" s="581"/>
      <c r="K85" s="581"/>
      <c r="L85" s="247"/>
      <c r="M85" s="247"/>
    </row>
    <row r="86" spans="2:13" ht="4.5" customHeight="1">
      <c r="B86" s="230"/>
      <c r="C86" s="295"/>
      <c r="D86" s="227"/>
      <c r="E86" s="281"/>
      <c r="F86" s="281"/>
      <c r="G86" s="296"/>
      <c r="H86" s="296"/>
      <c r="I86" s="298"/>
      <c r="J86" s="298"/>
      <c r="K86" s="298"/>
      <c r="L86" s="247"/>
      <c r="M86" s="247"/>
    </row>
    <row r="87" spans="2:13" ht="16.5" customHeight="1">
      <c r="B87" s="230" t="s">
        <v>141</v>
      </c>
      <c r="C87" s="295"/>
      <c r="D87" s="227"/>
      <c r="E87" s="3"/>
      <c r="F87" s="281"/>
      <c r="G87" s="296" t="str">
        <f>IF(AND($E$10=Lég_Choix!B27,$E$17&gt;0,E87&gt;0),E87/$E$17,IF(AND($E$10=Lég_Choix!B28,$G$19&gt;0,E87&gt;0),E87/$G$19,IF(AND($E$10=Lég_Choix!B29,E87&gt;0),E87/$E$97,"")))</f>
        <v/>
      </c>
      <c r="H87" s="297"/>
      <c r="I87" s="296" t="str">
        <f>IF(E87="","",IF(OR(E8="",E10=""),"",'Coef+Ind'!J233))</f>
        <v/>
      </c>
      <c r="J87" s="297"/>
      <c r="K87" s="296" t="str">
        <f>IF(OR(G87="",I87=""),"",G87-I87)</f>
        <v/>
      </c>
    </row>
    <row r="88" spans="2:13" ht="4.5" customHeight="1">
      <c r="B88" s="277"/>
      <c r="C88" s="549"/>
      <c r="D88" s="277"/>
      <c r="E88" s="278"/>
      <c r="F88" s="278"/>
      <c r="G88" s="580"/>
      <c r="H88" s="580"/>
      <c r="I88" s="581"/>
      <c r="J88" s="581"/>
      <c r="K88" s="581"/>
      <c r="L88" s="247"/>
      <c r="M88" s="247"/>
    </row>
    <row r="89" spans="2:13" ht="4.5" customHeight="1">
      <c r="B89" s="230"/>
      <c r="C89" s="295"/>
      <c r="D89" s="227"/>
      <c r="E89" s="281"/>
      <c r="F89" s="281"/>
      <c r="G89" s="296"/>
      <c r="H89" s="296"/>
      <c r="I89" s="298"/>
      <c r="J89" s="298"/>
      <c r="K89" s="298"/>
      <c r="L89" s="247"/>
      <c r="M89" s="247"/>
    </row>
    <row r="90" spans="2:13" ht="16.5" customHeight="1">
      <c r="B90" s="230" t="s">
        <v>15</v>
      </c>
      <c r="C90" s="295"/>
      <c r="D90" s="227"/>
      <c r="E90" s="3"/>
      <c r="F90" s="281"/>
      <c r="G90" s="296" t="str">
        <f>IF(AND($E$10=Lég_Choix!B27,$E$17&gt;0,E90&gt;0),E90/$E$17,IF(AND($E$10=Lég_Choix!B28,$G$19&gt;0,E90&gt;0),E90/$G$19,IF(AND($E$10=Lég_Choix!B29,E90&gt;0),E90/$E$97,"")))</f>
        <v/>
      </c>
      <c r="H90" s="297"/>
      <c r="I90" s="296" t="str">
        <f>IF(E90="","",IF(OR(E8="",E10=""),"",'Coef+Ind'!J231))</f>
        <v/>
      </c>
      <c r="J90" s="297"/>
      <c r="K90" s="296" t="str">
        <f>IF(OR(G90="",I90=""),"",G90-I90)</f>
        <v/>
      </c>
    </row>
    <row r="91" spans="2:13" ht="4.5" customHeight="1">
      <c r="B91" s="230"/>
      <c r="C91" s="295"/>
      <c r="D91" s="227"/>
      <c r="E91" s="281"/>
      <c r="F91" s="281"/>
      <c r="G91" s="296"/>
      <c r="H91" s="297"/>
      <c r="I91" s="296"/>
      <c r="J91" s="297"/>
      <c r="K91" s="296"/>
    </row>
    <row r="92" spans="2:13" ht="16.5" customHeight="1">
      <c r="B92" s="230" t="s">
        <v>364</v>
      </c>
      <c r="C92" s="295"/>
      <c r="D92" s="230"/>
      <c r="E92" s="3"/>
      <c r="F92" s="270"/>
      <c r="G92" s="296" t="str">
        <f>IF(AND($E$10=Lég_Choix!B27,$E$17&gt;0,E92&gt;0),E92/$E$17,IF(AND($E$10=Lég_Choix!B28,$G$19&gt;0,E92&gt;0),E92/$G$19,IF(AND($E$10=Lég_Choix!B29,E92&gt;0),E92/$E$97,"")))</f>
        <v/>
      </c>
      <c r="H92" s="281"/>
      <c r="I92" s="416" t="s">
        <v>34</v>
      </c>
      <c r="J92" s="281"/>
      <c r="K92" s="296"/>
    </row>
    <row r="93" spans="2:13" ht="4.5" customHeight="1">
      <c r="B93" s="230"/>
      <c r="C93" s="295"/>
      <c r="D93" s="227"/>
      <c r="E93" s="281"/>
      <c r="F93" s="281"/>
      <c r="G93" s="296"/>
      <c r="H93" s="297"/>
      <c r="I93" s="296"/>
      <c r="J93" s="297"/>
      <c r="K93" s="296"/>
    </row>
    <row r="94" spans="2:13" ht="16.5" customHeight="1">
      <c r="B94" s="582" t="s">
        <v>6</v>
      </c>
      <c r="C94" s="295"/>
      <c r="D94" s="230"/>
      <c r="E94" s="583">
        <f>E90+E92</f>
        <v>0</v>
      </c>
      <c r="F94" s="270"/>
      <c r="G94" s="554" t="str">
        <f>IF(AND(G90="",G92=""),"",IF(AND(G90&lt;&gt;"",G92=""),G90,G92+G90))</f>
        <v/>
      </c>
      <c r="H94" s="281"/>
      <c r="I94" s="584" t="str">
        <f>I90</f>
        <v/>
      </c>
      <c r="J94" s="296"/>
      <c r="K94" s="554" t="str">
        <f>IF(OR(G94="",I94=""),"",G94-I94)</f>
        <v/>
      </c>
    </row>
    <row r="95" spans="2:13" ht="4.5" customHeight="1">
      <c r="B95" s="249"/>
      <c r="C95" s="299"/>
      <c r="D95" s="233"/>
      <c r="E95" s="300"/>
      <c r="F95" s="300"/>
      <c r="G95" s="283"/>
      <c r="H95" s="283"/>
      <c r="I95" s="301"/>
      <c r="J95" s="283"/>
      <c r="K95" s="283"/>
      <c r="L95" s="228"/>
    </row>
    <row r="96" spans="2:13" ht="4.5" customHeight="1">
      <c r="B96" s="232"/>
      <c r="C96" s="232"/>
      <c r="D96" s="230"/>
      <c r="E96" s="270"/>
      <c r="F96" s="270"/>
      <c r="G96" s="275"/>
      <c r="H96" s="275"/>
      <c r="I96" s="585"/>
      <c r="J96" s="275"/>
      <c r="K96" s="275"/>
      <c r="L96" s="228"/>
    </row>
    <row r="97" spans="1:13">
      <c r="B97" s="251" t="s">
        <v>14</v>
      </c>
      <c r="C97" s="302"/>
      <c r="D97" s="302"/>
      <c r="E97" s="273">
        <f>E80+E82+E87+E90+E92</f>
        <v>0</v>
      </c>
      <c r="F97" s="274"/>
      <c r="G97" s="303" t="str">
        <f>IF(AND(G80="",G82="",G87="",G90="",G92=""),"",IF(E10="","",IF(E97&lt;&gt;0,E97/IF($E$10=Lég_Choix!B27,$E$17,IF($E$10=Lég_Choix!B28,$G$19,IF($E$10=Lég_Choix!B29,$E$97,""))),"")))</f>
        <v/>
      </c>
      <c r="H97" s="304"/>
      <c r="I97" s="303" t="str">
        <f>IF(E97=0,"",IF(OR(E8="",E10=""),"",SUM(I80,I87,I90)))</f>
        <v/>
      </c>
      <c r="J97" s="305"/>
      <c r="K97" s="303" t="str">
        <f>IF(OR(E8="",E10=""),"",IF(OR($E$10=Lég_Choix!B29,G97=""),"",G97-I97))</f>
        <v/>
      </c>
      <c r="L97" s="228"/>
    </row>
    <row r="98" spans="1:13" ht="4.5" customHeight="1">
      <c r="B98" s="230"/>
      <c r="C98" s="230"/>
      <c r="D98" s="227"/>
      <c r="E98" s="281"/>
      <c r="F98" s="281"/>
      <c r="G98" s="282"/>
      <c r="H98" s="282"/>
      <c r="I98" s="306"/>
      <c r="J98" s="306"/>
      <c r="K98" s="306"/>
      <c r="L98" s="247"/>
      <c r="M98" s="247"/>
    </row>
    <row r="99" spans="1:13">
      <c r="B99" s="4" t="s">
        <v>12</v>
      </c>
      <c r="C99" s="5"/>
      <c r="D99" s="252"/>
      <c r="E99" s="7"/>
      <c r="F99" s="7"/>
      <c r="G99" s="7"/>
      <c r="H99" s="7"/>
      <c r="I99" s="7"/>
      <c r="J99" s="7"/>
      <c r="K99" s="7"/>
      <c r="L99" s="228"/>
    </row>
    <row r="100" spans="1:13" ht="4.5" customHeight="1">
      <c r="B100" s="632"/>
      <c r="C100" s="633"/>
      <c r="D100" s="227"/>
      <c r="E100" s="281"/>
      <c r="F100" s="281"/>
      <c r="G100" s="282"/>
      <c r="H100" s="282"/>
      <c r="I100" s="306"/>
      <c r="J100" s="306"/>
      <c r="K100" s="306"/>
      <c r="L100" s="247"/>
      <c r="M100" s="247"/>
    </row>
    <row r="101" spans="1:13" ht="16.5" customHeight="1">
      <c r="B101" s="632" t="s">
        <v>192</v>
      </c>
      <c r="C101" s="633"/>
      <c r="D101" s="227"/>
      <c r="E101" s="3"/>
      <c r="F101" s="281"/>
      <c r="G101" s="296" t="str">
        <f>IF(AND($E$10=Lég_Choix!B27,$E$17&gt;0,E101&gt;0),E101/$E$17,IF(AND($E$10=Lég_Choix!B28,$G$19&gt;0,E101&gt;0),E101/$G$19,IF(AND($E$10=Lég_Choix!B29,E101&gt;0),E101/$E$157,"")))</f>
        <v/>
      </c>
      <c r="H101" s="296"/>
      <c r="I101" s="296" t="str">
        <f>IF(E101="","",IF(OR(E8="",E10=""),"",'Coef+Ind'!J21))</f>
        <v/>
      </c>
      <c r="J101" s="306"/>
      <c r="K101" s="296" t="str">
        <f>IF(OR(G101="",I101=""),"",G101-I101)</f>
        <v/>
      </c>
      <c r="L101" s="247"/>
      <c r="M101" s="247"/>
    </row>
    <row r="102" spans="1:13" ht="4.5" customHeight="1">
      <c r="B102" s="586"/>
      <c r="C102" s="587"/>
      <c r="D102" s="277"/>
      <c r="E102" s="278"/>
      <c r="F102" s="278"/>
      <c r="G102" s="580"/>
      <c r="H102" s="580"/>
      <c r="I102" s="580"/>
      <c r="J102" s="588"/>
      <c r="K102" s="580"/>
      <c r="L102" s="247"/>
      <c r="M102" s="247"/>
    </row>
    <row r="103" spans="1:13" ht="4.5" customHeight="1">
      <c r="B103" s="575"/>
      <c r="C103" s="576"/>
      <c r="D103" s="227"/>
      <c r="E103" s="281"/>
      <c r="F103" s="281"/>
      <c r="G103" s="296"/>
      <c r="H103" s="296"/>
      <c r="I103" s="296"/>
      <c r="J103" s="306"/>
      <c r="K103" s="296"/>
      <c r="L103" s="247"/>
      <c r="M103" s="247"/>
    </row>
    <row r="104" spans="1:13" ht="16.5" customHeight="1">
      <c r="B104" s="632" t="s">
        <v>197</v>
      </c>
      <c r="C104" s="633"/>
      <c r="D104" s="227"/>
      <c r="E104" s="3"/>
      <c r="F104" s="281"/>
      <c r="G104" s="296" t="str">
        <f>IF(AND($E$10=Lég_Choix!B27,$E$17&gt;0,E104&gt;0),E104/$E$17,IF(AND($E$10=Lég_Choix!B28,$G$19&gt;0,E104&gt;0),E104/$G$19,IF(AND($E$10=Lég_Choix!B29,E104&gt;0),E104/$E$157,"")))</f>
        <v/>
      </c>
      <c r="H104" s="296"/>
      <c r="I104" s="296" t="str">
        <f>IF(E104="","",IF(OR(E8="",E10=""),"",'Coef+Ind'!J37))</f>
        <v/>
      </c>
      <c r="J104" s="306"/>
      <c r="K104" s="296" t="str">
        <f>IF(OR(G104="",I104=""),"",G104-I104)</f>
        <v/>
      </c>
      <c r="L104" s="247"/>
      <c r="M104" s="247"/>
    </row>
    <row r="105" spans="1:13" ht="4.5" customHeight="1">
      <c r="B105" s="230"/>
      <c r="C105" s="295"/>
      <c r="D105" s="227"/>
      <c r="E105" s="281"/>
      <c r="F105" s="281"/>
      <c r="G105" s="296"/>
      <c r="H105" s="297"/>
      <c r="I105" s="296"/>
      <c r="J105" s="297"/>
      <c r="K105" s="296"/>
    </row>
    <row r="106" spans="1:13" ht="16.5" customHeight="1">
      <c r="B106" s="230" t="s">
        <v>364</v>
      </c>
      <c r="C106" s="295"/>
      <c r="D106" s="230"/>
      <c r="E106" s="3"/>
      <c r="F106" s="270"/>
      <c r="G106" s="296" t="str">
        <f>IF(AND($E$10=Lég_Choix!B27,$E$17&gt;0,E106&gt;0),E106/$E$17,IF(AND($E$10=Lég_Choix!B28,$G$19&gt;0,E106&gt;0),E106/$G$19,IF(AND($E$10=Lég_Choix!B29,E106&gt;0),E106/$E$97,"")))</f>
        <v/>
      </c>
      <c r="H106" s="281"/>
      <c r="I106" s="416" t="s">
        <v>34</v>
      </c>
      <c r="J106" s="281"/>
      <c r="K106" s="296"/>
    </row>
    <row r="107" spans="1:13" ht="4.5" customHeight="1">
      <c r="B107" s="230"/>
      <c r="C107" s="295"/>
      <c r="D107" s="230"/>
      <c r="E107" s="270"/>
      <c r="F107" s="270"/>
      <c r="G107" s="318"/>
      <c r="H107" s="499"/>
      <c r="I107" s="318"/>
      <c r="J107" s="499"/>
      <c r="K107" s="318"/>
    </row>
    <row r="108" spans="1:13" ht="16.5" customHeight="1">
      <c r="B108" s="582" t="s">
        <v>6</v>
      </c>
      <c r="C108" s="295"/>
      <c r="D108" s="230"/>
      <c r="E108" s="583">
        <f>E104+E106</f>
        <v>0</v>
      </c>
      <c r="F108" s="270"/>
      <c r="G108" s="554" t="str">
        <f>IF(AND(G104="",G106=""),"",IF(AND(G104&lt;&gt;"",G106=""),G104,G106+G104))</f>
        <v/>
      </c>
      <c r="H108" s="281"/>
      <c r="I108" s="584" t="str">
        <f>I104</f>
        <v/>
      </c>
      <c r="J108" s="296"/>
      <c r="K108" s="554" t="str">
        <f>IF(OR(G108="",I108=""),"",G108-I108)</f>
        <v/>
      </c>
    </row>
    <row r="109" spans="1:13" ht="4.5" customHeight="1">
      <c r="A109" s="307"/>
      <c r="B109" s="586"/>
      <c r="C109" s="587"/>
      <c r="D109" s="589"/>
      <c r="E109" s="590"/>
      <c r="F109" s="590"/>
      <c r="G109" s="551"/>
      <c r="H109" s="551"/>
      <c r="I109" s="591"/>
      <c r="J109" s="592"/>
      <c r="K109" s="551"/>
    </row>
    <row r="110" spans="1:13" ht="4.5" customHeight="1">
      <c r="A110" s="307"/>
      <c r="B110" s="575"/>
      <c r="C110" s="576"/>
      <c r="D110" s="308"/>
      <c r="E110" s="309"/>
      <c r="F110" s="309"/>
      <c r="G110" s="310"/>
      <c r="H110" s="310"/>
      <c r="I110" s="311"/>
      <c r="J110" s="312"/>
      <c r="K110" s="310"/>
    </row>
    <row r="111" spans="1:13" ht="16.5" customHeight="1">
      <c r="A111" s="307"/>
      <c r="B111" s="632" t="s">
        <v>253</v>
      </c>
      <c r="C111" s="633"/>
      <c r="D111" s="308"/>
      <c r="E111" s="3"/>
      <c r="F111" s="309"/>
      <c r="G111" s="296" t="str">
        <f>IF(AND($E$10=Lég_Choix!B27,$E$17&gt;0,E111&gt;0),E111/$E$17,IF(AND($E$10=Lég_Choix!B28,$G$19&gt;0,E111&gt;0),E111/$G$19,IF(AND($E$10=Lég_Choix!B29,E111&gt;0),E111/$E$157,"")))</f>
        <v/>
      </c>
      <c r="H111" s="296"/>
      <c r="I111" s="296" t="str">
        <f>IF(E111="","",IF(OR(E8="",E10=""),"",'Coef+Ind'!J42))</f>
        <v/>
      </c>
      <c r="J111" s="306"/>
      <c r="K111" s="296" t="str">
        <f>IF(OR(G111="",I111=""),"",G111-I111)</f>
        <v/>
      </c>
    </row>
    <row r="112" spans="1:13" ht="4.5" customHeight="1">
      <c r="A112" s="307"/>
      <c r="B112" s="394"/>
      <c r="C112" s="395"/>
      <c r="D112" s="394"/>
      <c r="E112" s="313"/>
      <c r="F112" s="313"/>
      <c r="G112" s="296"/>
      <c r="H112" s="296"/>
      <c r="I112" s="296"/>
      <c r="J112" s="306"/>
      <c r="K112" s="296"/>
    </row>
    <row r="113" spans="1:11" ht="16.5" customHeight="1">
      <c r="A113" s="307"/>
      <c r="B113" s="632" t="s">
        <v>215</v>
      </c>
      <c r="C113" s="633"/>
      <c r="D113" s="394"/>
      <c r="E113" s="3"/>
      <c r="F113" s="313"/>
      <c r="G113" s="296" t="str">
        <f>IF(AND($E$10=Lég_Choix!B27,$E$17&gt;0,E113&gt;0),E113/$E$17,IF(AND($E$10=Lég_Choix!B28,$G$19&gt;0,E113&gt;0),E113/$G$19,IF(AND($E$10=Lég_Choix!B29,E113&gt;0),E113/$E$157,"")))</f>
        <v/>
      </c>
      <c r="H113" s="296"/>
      <c r="I113" s="296" t="str">
        <f>IF(E113="","",IF(OR(E8="",E10=""),"",'Coef+Ind'!J51))</f>
        <v/>
      </c>
      <c r="J113" s="306"/>
      <c r="K113" s="296" t="str">
        <f>IF(OR(G113="",I113=""),"",G113-I113)</f>
        <v/>
      </c>
    </row>
    <row r="114" spans="1:11" ht="4.5" customHeight="1">
      <c r="A114" s="307"/>
      <c r="B114" s="314"/>
      <c r="C114" s="315"/>
      <c r="D114" s="394"/>
      <c r="E114" s="313"/>
      <c r="F114" s="313"/>
      <c r="G114" s="296"/>
      <c r="H114" s="296"/>
      <c r="I114" s="296"/>
      <c r="J114" s="306"/>
      <c r="K114" s="296"/>
    </row>
    <row r="115" spans="1:11" ht="16.5" customHeight="1">
      <c r="A115" s="307"/>
      <c r="B115" s="394" t="s">
        <v>221</v>
      </c>
      <c r="C115" s="395"/>
      <c r="D115" s="394"/>
      <c r="E115" s="3"/>
      <c r="F115" s="313"/>
      <c r="G115" s="296" t="str">
        <f>IF(AND($E$10=Lég_Choix!B27,$E$17&gt;0,E115&gt;0),E115/$E$17,IF(AND($E$10=Lég_Choix!B28,$G$19&gt;0,E115&gt;0),E115/$G$19,IF(AND($E$10=Lég_Choix!B29,E115&gt;0),E115/$E$157,"")))</f>
        <v/>
      </c>
      <c r="H115" s="296"/>
      <c r="I115" s="296" t="str">
        <f>IF(E115="","",IF(OR(E8="",E10=""),"",'Coef+Ind'!J60))</f>
        <v/>
      </c>
      <c r="J115" s="306"/>
      <c r="K115" s="296" t="str">
        <f>IF(OR(G115="",I115=""),"",G115-I115)</f>
        <v/>
      </c>
    </row>
    <row r="116" spans="1:11" ht="4.5" customHeight="1">
      <c r="A116" s="307"/>
      <c r="B116" s="394"/>
      <c r="C116" s="395"/>
      <c r="D116" s="394"/>
      <c r="E116" s="313"/>
      <c r="F116" s="313"/>
      <c r="G116" s="296"/>
      <c r="H116" s="296"/>
      <c r="I116" s="296"/>
      <c r="J116" s="306"/>
      <c r="K116" s="296"/>
    </row>
    <row r="117" spans="1:11" ht="16.5" customHeight="1">
      <c r="A117" s="307"/>
      <c r="B117" s="394" t="s">
        <v>17</v>
      </c>
      <c r="C117" s="395"/>
      <c r="D117" s="394"/>
      <c r="E117" s="3"/>
      <c r="F117" s="313"/>
      <c r="G117" s="296" t="str">
        <f>IF(AND($E$10=Lég_Choix!B27,$E$17&gt;0,E117&gt;0),E117/$E$17,IF(AND($E$10=Lég_Choix!B28,$G$19&gt;0,E117&gt;0),E117/$G$19,IF(AND($E$10=Lég_Choix!B29,E117&gt;0),E117/$E$157,"")))</f>
        <v/>
      </c>
      <c r="H117" s="296"/>
      <c r="I117" s="296" t="str">
        <f>IF(E117="","",IF(OR(E8="",E10=""),"",'Coef+Ind'!J66))</f>
        <v/>
      </c>
      <c r="J117" s="306"/>
      <c r="K117" s="296" t="str">
        <f>IF(OR(G117="",I117=""),"",G117-I117)</f>
        <v/>
      </c>
    </row>
    <row r="118" spans="1:11" ht="4.5" customHeight="1">
      <c r="A118" s="307"/>
      <c r="B118" s="394"/>
      <c r="C118" s="395"/>
      <c r="D118" s="394"/>
      <c r="E118" s="313"/>
      <c r="F118" s="313"/>
      <c r="G118" s="296"/>
      <c r="H118" s="296"/>
      <c r="I118" s="296"/>
      <c r="J118" s="306"/>
      <c r="K118" s="296"/>
    </row>
    <row r="119" spans="1:11" ht="16.5" customHeight="1">
      <c r="A119" s="307"/>
      <c r="B119" s="413" t="s">
        <v>16</v>
      </c>
      <c r="C119" s="395"/>
      <c r="D119" s="394"/>
      <c r="E119" s="3"/>
      <c r="F119" s="313"/>
      <c r="G119" s="296" t="str">
        <f>IF(AND($E$10=Lég_Choix!B27,$E$17&gt;0,E119&gt;0),E119/$E$17,IF(AND($E$10=Lég_Choix!B28,$G$19&gt;0,E119&gt;0),E119/$G$19,IF(AND($E$10=Lég_Choix!B29,E119&gt;0),E119/$E$157,"")))</f>
        <v/>
      </c>
      <c r="H119" s="296"/>
      <c r="I119" s="296" t="str">
        <f>IF(E119="","",IF(OR(E8="",E10=""),"",'Coef+Ind'!J70))</f>
        <v/>
      </c>
      <c r="J119" s="306"/>
      <c r="K119" s="296" t="str">
        <f>IF(OR(G119="",I119=""),"",G119-I119)</f>
        <v/>
      </c>
    </row>
    <row r="120" spans="1:11" ht="4.5" customHeight="1">
      <c r="A120" s="307"/>
      <c r="B120" s="308"/>
      <c r="C120" s="316"/>
      <c r="D120" s="394"/>
      <c r="E120" s="313"/>
      <c r="F120" s="313"/>
      <c r="G120" s="296"/>
      <c r="H120" s="296"/>
      <c r="I120" s="296"/>
      <c r="J120" s="306"/>
      <c r="K120" s="296"/>
    </row>
    <row r="121" spans="1:11" ht="16.5" customHeight="1">
      <c r="A121" s="307"/>
      <c r="B121" s="394" t="s">
        <v>18</v>
      </c>
      <c r="C121" s="395"/>
      <c r="D121" s="394"/>
      <c r="E121" s="3"/>
      <c r="F121" s="313"/>
      <c r="G121" s="296" t="str">
        <f>IF(AND($E$10=Lég_Choix!B27,$E$17&gt;0,E121&gt;0),E121/$E$17,IF(AND($E$10=Lég_Choix!B28,$G$19&gt;0,E121&gt;0),E121/$G$19,IF(AND($E$10=Lég_Choix!B29,E121&gt;0),E121/$E$157,"")))</f>
        <v/>
      </c>
      <c r="H121" s="296"/>
      <c r="I121" s="296" t="str">
        <f>IF(E121="","",IF(OR(E8="",E10=""),"",'Coef+Ind'!J75))</f>
        <v/>
      </c>
      <c r="J121" s="306"/>
      <c r="K121" s="296" t="str">
        <f>IF(OR(G121="",I121=""),"",G121-I121)</f>
        <v/>
      </c>
    </row>
    <row r="122" spans="1:11" ht="4.5" customHeight="1">
      <c r="A122" s="307"/>
      <c r="B122" s="308"/>
      <c r="C122" s="316"/>
      <c r="D122" s="394"/>
      <c r="E122" s="313"/>
      <c r="F122" s="313"/>
      <c r="G122" s="296"/>
      <c r="H122" s="296"/>
      <c r="I122" s="296"/>
      <c r="J122" s="306"/>
      <c r="K122" s="296"/>
    </row>
    <row r="123" spans="1:11" ht="16.5" customHeight="1">
      <c r="A123" s="307"/>
      <c r="B123" s="230" t="s">
        <v>228</v>
      </c>
      <c r="C123" s="295"/>
      <c r="D123" s="394"/>
      <c r="E123" s="3"/>
      <c r="F123" s="313"/>
      <c r="G123" s="296" t="str">
        <f>IF(AND($E$10=Lég_Choix!B27,$E$17&gt;0,E123&gt;0),E123/$E$17,IF(AND($E$10=Lég_Choix!B28,$G$19&gt;0,E123&gt;0),E123/$G$19,IF(AND($E$10=Lég_Choix!B29,E123&gt;0),E123/$E$157,"")))</f>
        <v/>
      </c>
      <c r="H123" s="296"/>
      <c r="I123" s="296" t="str">
        <f>IF(E123="","",IF(OR(E8="",E10=""),"",'Coef+Ind'!J80))</f>
        <v/>
      </c>
      <c r="J123" s="306"/>
      <c r="K123" s="296" t="str">
        <f>IF(OR(G123="",I123=""),"",G123-I123)</f>
        <v/>
      </c>
    </row>
    <row r="124" spans="1:11" ht="4.5" customHeight="1">
      <c r="A124" s="307"/>
      <c r="B124" s="230"/>
      <c r="C124" s="295"/>
      <c r="D124" s="314"/>
      <c r="E124" s="317"/>
      <c r="F124" s="317"/>
      <c r="G124" s="296"/>
      <c r="H124" s="296"/>
      <c r="I124" s="296"/>
      <c r="J124" s="306"/>
      <c r="K124" s="296"/>
    </row>
    <row r="125" spans="1:11" ht="16.5" customHeight="1">
      <c r="A125" s="307"/>
      <c r="B125" s="230" t="s">
        <v>19</v>
      </c>
      <c r="C125" s="295"/>
      <c r="D125" s="394"/>
      <c r="E125" s="3"/>
      <c r="F125" s="313"/>
      <c r="G125" s="296" t="str">
        <f>IF(AND($E$10=Lég_Choix!B27,$E$17&gt;0,E125&gt;0),E125/$E$17,IF(AND($E$10=Lég_Choix!B28,$G$19&gt;0,E125&gt;0),E125/$G$19,IF(AND($E$10=Lég_Choix!B29,E125&gt;0),E125/$E$157,"")))</f>
        <v/>
      </c>
      <c r="H125" s="296"/>
      <c r="I125" s="296" t="str">
        <f>IF(E125="","",IF(OR(E8="",E10=""),"",'Coef+Ind'!J88))</f>
        <v/>
      </c>
      <c r="J125" s="306"/>
      <c r="K125" s="296" t="str">
        <f>IF(OR(G125="",I125=""),"",G125-I125)</f>
        <v/>
      </c>
    </row>
    <row r="126" spans="1:11" ht="4.5" customHeight="1">
      <c r="A126" s="307"/>
      <c r="B126" s="230"/>
      <c r="C126" s="295"/>
      <c r="D126" s="394"/>
      <c r="E126" s="313"/>
      <c r="F126" s="313"/>
      <c r="G126" s="296"/>
      <c r="H126" s="296"/>
      <c r="I126" s="296"/>
      <c r="J126" s="306"/>
      <c r="K126" s="296"/>
    </row>
    <row r="127" spans="1:11" ht="16.5" customHeight="1">
      <c r="A127" s="307"/>
      <c r="B127" s="230" t="s">
        <v>20</v>
      </c>
      <c r="C127" s="295"/>
      <c r="D127" s="394"/>
      <c r="E127" s="3"/>
      <c r="F127" s="313"/>
      <c r="G127" s="296" t="str">
        <f>IF(AND($E$10=Lég_Choix!B27,$E$17&gt;0,E127&gt;0),E127/$E$17,IF(AND($E$10=Lég_Choix!B28,$G$19&gt;0,E127&gt;0),E127/$G$19,IF(AND($E$10=Lég_Choix!B29,E127&gt;0),E127/$E$157,"")))</f>
        <v/>
      </c>
      <c r="H127" s="296"/>
      <c r="I127" s="296" t="str">
        <f>IF(E127="","",IF(OR(E8="",E10=""),"",'Coef+Ind'!J94))</f>
        <v/>
      </c>
      <c r="J127" s="306"/>
      <c r="K127" s="296" t="str">
        <f>IF(OR(G127="",I127=""),"",G127-I127)</f>
        <v/>
      </c>
    </row>
    <row r="128" spans="1:11" ht="4.5" customHeight="1">
      <c r="A128" s="307"/>
      <c r="B128" s="230"/>
      <c r="C128" s="295"/>
      <c r="D128" s="394"/>
      <c r="E128" s="313"/>
      <c r="F128" s="313"/>
      <c r="G128" s="296"/>
      <c r="H128" s="296"/>
      <c r="I128" s="296"/>
      <c r="J128" s="306"/>
      <c r="K128" s="296"/>
    </row>
    <row r="129" spans="1:12" ht="16.5" customHeight="1">
      <c r="A129" s="307"/>
      <c r="B129" s="230" t="s">
        <v>22</v>
      </c>
      <c r="C129" s="295"/>
      <c r="D129" s="394"/>
      <c r="E129" s="3"/>
      <c r="F129" s="313"/>
      <c r="G129" s="296" t="str">
        <f>IF(AND($E$10=Lég_Choix!B27,$E$17&gt;0,E129&gt;0),E129/$E$17,IF(AND($E$10=Lég_Choix!B28,$G$19&gt;0,E129&gt;0),E129/$G$19,IF(AND($E$10=Lég_Choix!B29,E129&gt;0),E129/$E$157,"")))</f>
        <v/>
      </c>
      <c r="H129" s="296"/>
      <c r="I129" s="296" t="str">
        <f>IF(E129="","",IF(OR(E8="",E10=""),"",'Coef+Ind'!J99))</f>
        <v/>
      </c>
      <c r="J129" s="306"/>
      <c r="K129" s="296" t="str">
        <f>IF(OR(G129="",I129=""),"",G129-I129)</f>
        <v/>
      </c>
    </row>
    <row r="130" spans="1:12" ht="4.5" customHeight="1">
      <c r="A130" s="307"/>
      <c r="B130" s="230"/>
      <c r="C130" s="295"/>
      <c r="D130" s="308"/>
      <c r="E130" s="309"/>
      <c r="F130" s="309"/>
      <c r="G130" s="296"/>
      <c r="H130" s="296"/>
      <c r="I130" s="296"/>
      <c r="J130" s="306"/>
      <c r="K130" s="296"/>
    </row>
    <row r="131" spans="1:12" ht="16.5" customHeight="1">
      <c r="B131" s="230" t="s">
        <v>23</v>
      </c>
      <c r="C131" s="295"/>
      <c r="D131" s="227"/>
      <c r="E131" s="3"/>
      <c r="F131" s="281"/>
      <c r="G131" s="296" t="str">
        <f>IF(AND($E$10=Lég_Choix!B27,$E$17&gt;0,E131&gt;0),E131/$E$17,IF(AND($E$10=Lég_Choix!B28,$G$19&gt;0,E131&gt;0),E131/$G$19,IF(AND($E$10=Lég_Choix!B29,E131&gt;0),E131/$E$157,"")))</f>
        <v/>
      </c>
      <c r="H131" s="296"/>
      <c r="I131" s="296" t="str">
        <f>IF(E131="","",IF(OR(E8="",E10=""),"",'Coef+Ind'!J110))</f>
        <v/>
      </c>
      <c r="J131" s="306"/>
      <c r="K131" s="296" t="str">
        <f>IF(OR(G131="",I131=""),"",G131-I131)</f>
        <v/>
      </c>
    </row>
    <row r="132" spans="1:12" ht="4.5" customHeight="1">
      <c r="B132" s="230"/>
      <c r="C132" s="295"/>
      <c r="D132" s="227"/>
      <c r="E132" s="281"/>
      <c r="F132" s="281"/>
      <c r="G132" s="296"/>
      <c r="H132" s="296"/>
      <c r="I132" s="296"/>
      <c r="J132" s="306"/>
      <c r="K132" s="296"/>
    </row>
    <row r="133" spans="1:12" ht="16.5" customHeight="1">
      <c r="B133" s="230" t="s">
        <v>24</v>
      </c>
      <c r="C133" s="295"/>
      <c r="D133" s="227"/>
      <c r="E133" s="3"/>
      <c r="F133" s="281"/>
      <c r="G133" s="296" t="str">
        <f>IF(AND($E$10=Lég_Choix!B27,$E$17&gt;0,E133&gt;0),E133/$E$17,IF(AND($E$10=Lég_Choix!B28,$G$19&gt;0,E133&gt;0),E133/$G$19,IF(AND($E$10=Lég_Choix!B29,E133&gt;0),E133/$E$157,"")))</f>
        <v/>
      </c>
      <c r="H133" s="318"/>
      <c r="I133" s="296" t="str">
        <f>IF(E133="","",IF(OR(E8="",E10=""),"",'Coef+Ind'!J115))</f>
        <v/>
      </c>
      <c r="J133" s="319"/>
      <c r="K133" s="296" t="str">
        <f>IF(OR(G133="",I133=""),"",G133-I133)</f>
        <v/>
      </c>
    </row>
    <row r="134" spans="1:12" ht="4.5" customHeight="1">
      <c r="B134" s="230"/>
      <c r="C134" s="295"/>
      <c r="D134" s="227"/>
      <c r="E134" s="281"/>
      <c r="F134" s="281"/>
      <c r="G134" s="296"/>
      <c r="H134" s="296"/>
      <c r="I134" s="296"/>
      <c r="J134" s="306"/>
      <c r="K134" s="296"/>
    </row>
    <row r="135" spans="1:12">
      <c r="B135" s="251" t="s">
        <v>25</v>
      </c>
      <c r="C135" s="302"/>
      <c r="D135" s="302"/>
      <c r="E135" s="273">
        <f>SUM(E101:E133)</f>
        <v>0</v>
      </c>
      <c r="F135" s="274"/>
      <c r="G135" s="303" t="str">
        <f>IF(AND(G101="",G104="",G111="",G113="",G115="",G117="",G119="",G121="",G123="",G125="",G127="",G129="",G131="",G133=""),"",IF(E10="","",IF(E135&lt;&gt;0,E135/IF($E$10=Lég_Choix!B27,$E$17,IF($E$10=Lég_Choix!B28,$G$19,IF($E$10=Lég_Choix!B29,$E$157,""))),"")))</f>
        <v/>
      </c>
      <c r="H135" s="304"/>
      <c r="I135" s="303" t="str">
        <f>IF(E135=0,"",IF(OR(E8="",E10=""),"",SUM(I101:I133)))</f>
        <v/>
      </c>
      <c r="J135" s="320"/>
      <c r="K135" s="303" t="str">
        <f>IF(OR(G135="",I135=""),"",G135-I135)</f>
        <v/>
      </c>
      <c r="L135" s="228"/>
    </row>
    <row r="136" spans="1:12" ht="4.5" customHeight="1">
      <c r="B136" s="230"/>
      <c r="C136" s="230"/>
      <c r="D136" s="230"/>
      <c r="E136" s="270"/>
      <c r="F136" s="270"/>
      <c r="G136" s="296"/>
      <c r="H136" s="296"/>
      <c r="I136" s="296"/>
      <c r="J136" s="306"/>
      <c r="K136" s="296"/>
    </row>
    <row r="137" spans="1:12" ht="15" customHeight="1">
      <c r="B137" s="4" t="s">
        <v>26</v>
      </c>
      <c r="C137" s="5"/>
      <c r="D137" s="252"/>
      <c r="E137" s="7"/>
      <c r="F137" s="7"/>
      <c r="G137" s="8"/>
      <c r="H137" s="8"/>
      <c r="I137" s="8"/>
      <c r="J137" s="7"/>
      <c r="K137" s="8"/>
      <c r="L137" s="228"/>
    </row>
    <row r="138" spans="1:12" ht="4.5" customHeight="1">
      <c r="B138" s="230"/>
      <c r="C138" s="295"/>
      <c r="D138" s="227"/>
      <c r="E138" s="281"/>
      <c r="F138" s="281"/>
      <c r="G138" s="321"/>
      <c r="H138" s="321"/>
      <c r="I138" s="322"/>
      <c r="J138" s="312"/>
      <c r="K138" s="321"/>
    </row>
    <row r="139" spans="1:12" ht="16.5" customHeight="1">
      <c r="B139" s="230" t="s">
        <v>246</v>
      </c>
      <c r="C139" s="295"/>
      <c r="D139" s="227"/>
      <c r="E139" s="3"/>
      <c r="F139" s="281"/>
      <c r="G139" s="296" t="str">
        <f>IF(AND($E$10=Lég_Choix!B27,$E$17&gt;0,E139&gt;0),E139/$E$17,IF(AND($E$10=Lég_Choix!B28,$G$19&gt;0,E139&gt;0),E139/$G$19,IF(AND($E$10=Lég_Choix!B29,E139&gt;0),E139/$E$157,"")))</f>
        <v/>
      </c>
      <c r="H139" s="321"/>
      <c r="I139" s="296" t="str">
        <f>IF(E139="","",IF(OR(E8="",E10=""),"",'Coef+Ind'!J120))</f>
        <v/>
      </c>
      <c r="J139" s="323"/>
      <c r="K139" s="296" t="str">
        <f>IF(OR(G139="",I139=""),"",G139-I139)</f>
        <v/>
      </c>
    </row>
    <row r="140" spans="1:12" ht="4.5" customHeight="1">
      <c r="B140" s="230"/>
      <c r="C140" s="295"/>
      <c r="D140" s="227"/>
      <c r="E140" s="281"/>
      <c r="F140" s="281"/>
      <c r="G140" s="321"/>
      <c r="H140" s="321"/>
      <c r="I140" s="324"/>
      <c r="J140" s="323"/>
      <c r="K140" s="321"/>
    </row>
    <row r="141" spans="1:12" ht="16.5" customHeight="1">
      <c r="B141" s="230" t="s">
        <v>27</v>
      </c>
      <c r="C141" s="295"/>
      <c r="D141" s="227"/>
      <c r="E141" s="3"/>
      <c r="F141" s="281"/>
      <c r="G141" s="296" t="str">
        <f>IF(AND($E$10=Lég_Choix!B27,$E$17&gt;0,E141&gt;0),E141/$E$17,IF(AND($E$10=Lég_Choix!B28,$G$19&gt;0,E141&gt;0),E141/$G$19,IF(AND($E$10=Lég_Choix!B29,E141&gt;0),E141/$E$157,"")))</f>
        <v/>
      </c>
      <c r="H141" s="321"/>
      <c r="I141" s="296" t="str">
        <f>IF(E141="","",IF(OR(E8="",E10=""),"",'Coef+Ind'!J126))</f>
        <v/>
      </c>
      <c r="J141" s="269"/>
      <c r="K141" s="296" t="str">
        <f>IF(OR(G141="",I141=""),"",G141-I141)</f>
        <v/>
      </c>
    </row>
    <row r="142" spans="1:12" ht="4.5" customHeight="1">
      <c r="B142" s="230"/>
      <c r="C142" s="295"/>
      <c r="D142" s="227"/>
      <c r="E142" s="281"/>
      <c r="F142" s="281"/>
      <c r="G142" s="296"/>
      <c r="H142" s="321"/>
      <c r="I142" s="318"/>
      <c r="J142" s="269"/>
      <c r="K142" s="321"/>
    </row>
    <row r="143" spans="1:12" ht="16.5" customHeight="1">
      <c r="B143" s="230" t="s">
        <v>28</v>
      </c>
      <c r="C143" s="295"/>
      <c r="D143" s="227"/>
      <c r="E143" s="3"/>
      <c r="F143" s="281"/>
      <c r="G143" s="296" t="str">
        <f>IF(AND($E$10=Lég_Choix!B27,$E$17&gt;0,E143&gt;0),E143/$E$17,IF(AND($E$10=Lég_Choix!B28,$G$19&gt;0,E143&gt;0),E143/$G$19,IF(AND($E$10=Lég_Choix!B29,E143&gt;0),E143/$E$157,"")))</f>
        <v/>
      </c>
      <c r="H143" s="321"/>
      <c r="I143" s="296" t="str">
        <f>IF(E143="","",IF(OR(E8="",E10=""),"",'Coef+Ind'!J131))</f>
        <v/>
      </c>
      <c r="J143" s="269"/>
      <c r="K143" s="296" t="str">
        <f>IF(OR(G143="",I143=""),"",G143-I143)</f>
        <v/>
      </c>
    </row>
    <row r="144" spans="1:12" ht="4.5" customHeight="1">
      <c r="B144" s="230"/>
      <c r="C144" s="295"/>
      <c r="D144" s="227"/>
      <c r="E144" s="281"/>
      <c r="F144" s="281"/>
      <c r="G144" s="296"/>
      <c r="H144" s="321"/>
      <c r="I144" s="318"/>
      <c r="J144" s="269"/>
      <c r="K144" s="321"/>
    </row>
    <row r="145" spans="2:13" ht="16.5" customHeight="1">
      <c r="B145" s="230" t="s">
        <v>29</v>
      </c>
      <c r="C145" s="295"/>
      <c r="D145" s="227"/>
      <c r="E145" s="3"/>
      <c r="F145" s="281"/>
      <c r="G145" s="296" t="str">
        <f>IF(AND($E$10=Lég_Choix!B27,$E$17&gt;0,E145&gt;0),E145/$E$17,IF(AND($E$10=Lég_Choix!B28,$G$19&gt;0,E145&gt;0),E145/$G$19,IF(AND($E$10=Lég_Choix!B29,E145&gt;0),E145/$E$157,"")))</f>
        <v/>
      </c>
      <c r="H145" s="321"/>
      <c r="I145" s="296" t="str">
        <f>IF(E145="","",IF(OR(E8="",E10=""),"",'Coef+Ind'!J136))</f>
        <v/>
      </c>
      <c r="J145" s="269"/>
      <c r="K145" s="296" t="str">
        <f>IF(OR(G145="",I145=""),"",G145-I145)</f>
        <v/>
      </c>
    </row>
    <row r="146" spans="2:13" ht="4.5" customHeight="1">
      <c r="B146" s="230"/>
      <c r="C146" s="295"/>
      <c r="D146" s="227"/>
      <c r="E146" s="281"/>
      <c r="F146" s="281"/>
      <c r="G146" s="321"/>
      <c r="H146" s="321"/>
      <c r="I146" s="318"/>
      <c r="J146" s="269"/>
      <c r="K146" s="321"/>
    </row>
    <row r="147" spans="2:13" ht="16.5" customHeight="1">
      <c r="B147" s="230" t="s">
        <v>30</v>
      </c>
      <c r="C147" s="295"/>
      <c r="D147" s="227"/>
      <c r="E147" s="3"/>
      <c r="F147" s="281"/>
      <c r="G147" s="296" t="str">
        <f>IF(AND($E$10=Lég_Choix!B27,$E$17&gt;0,E147&gt;0),E147/$E$17,IF(AND($E$10=Lég_Choix!B28,$G$19&gt;0,E147&gt;0),E147/$G$19,IF(AND($E$10=Lég_Choix!B29,E147&gt;0),E147/$E$157,"")))</f>
        <v/>
      </c>
      <c r="H147" s="321"/>
      <c r="I147" s="296" t="str">
        <f>IF(E147="","",IF(OR(E8="",E10=""),"",'Coef+Ind'!J147))</f>
        <v/>
      </c>
      <c r="J147" s="325"/>
      <c r="K147" s="296" t="str">
        <f>IF(OR(G147="",I147=""),"",G147-I147)</f>
        <v/>
      </c>
    </row>
    <row r="148" spans="2:13" ht="4.5" customHeight="1">
      <c r="B148" s="249"/>
      <c r="C148" s="299"/>
      <c r="D148" s="233"/>
      <c r="E148" s="300"/>
      <c r="F148" s="300"/>
      <c r="G148" s="326"/>
      <c r="H148" s="326"/>
      <c r="I148" s="327"/>
      <c r="J148" s="283"/>
      <c r="K148" s="326"/>
      <c r="L148" s="228"/>
    </row>
    <row r="149" spans="2:13">
      <c r="B149" s="251" t="s">
        <v>31</v>
      </c>
      <c r="C149" s="302"/>
      <c r="D149" s="302"/>
      <c r="E149" s="273">
        <f>SUM(E139:E147)</f>
        <v>0</v>
      </c>
      <c r="F149" s="274"/>
      <c r="G149" s="303" t="str">
        <f>IF(AND(G139="",G141="",G143="",G145="",G147=""),"",IF(E10="","",IF(E149&lt;&gt;0,E149/IF($E$10=Lég_Choix!B27,$E$17,IF($E$10=Lég_Choix!B28,$G$19,IF($E$10=Lég_Choix!B29,$E$157,""))),"")))</f>
        <v/>
      </c>
      <c r="H149" s="304"/>
      <c r="I149" s="303" t="str">
        <f>IF(E149=0,"",IF(OR(E8="",E10=""),"",SUM(I139:I147)))</f>
        <v/>
      </c>
      <c r="J149" s="320"/>
      <c r="K149" s="303" t="str">
        <f>IF(OR(G149="",I149=""),"",G149-I149)</f>
        <v/>
      </c>
      <c r="L149" s="228"/>
    </row>
    <row r="150" spans="2:13" ht="4.5" customHeight="1">
      <c r="B150" s="6"/>
      <c r="C150" s="9"/>
      <c r="D150" s="230"/>
      <c r="E150" s="10"/>
      <c r="F150" s="11"/>
      <c r="G150" s="12"/>
      <c r="H150" s="13"/>
      <c r="I150" s="12"/>
      <c r="J150" s="14"/>
      <c r="K150" s="12"/>
      <c r="L150" s="228"/>
    </row>
    <row r="151" spans="2:13" ht="4.5" customHeight="1">
      <c r="B151" s="230"/>
      <c r="C151" s="295"/>
      <c r="D151" s="227"/>
      <c r="E151" s="281"/>
      <c r="F151" s="281"/>
      <c r="G151" s="321"/>
      <c r="H151" s="321"/>
      <c r="I151" s="310"/>
      <c r="J151" s="269"/>
      <c r="K151" s="321"/>
    </row>
    <row r="152" spans="2:13" ht="16.5" customHeight="1">
      <c r="B152" s="230" t="s">
        <v>32</v>
      </c>
      <c r="C152" s="295"/>
      <c r="D152" s="227"/>
      <c r="E152" s="3"/>
      <c r="F152" s="281"/>
      <c r="G152" s="296" t="str">
        <f>IF(AND($E$10=Lég_Choix!B27,$E$17&gt;0,E152&gt;0),E152/$E$17,IF(AND($E$10=Lég_Choix!B28,$G$19&gt;0,E152&gt;0),E152/$G$19,IF(AND($E$10=Lég_Choix!B29,E152&gt;0),E152/$E$157,"")))</f>
        <v/>
      </c>
      <c r="H152" s="321"/>
      <c r="I152" s="296" t="str">
        <f>IF(E152="","",IF(OR(E8="",E10=""),"",'Coef+Ind'!J154))</f>
        <v/>
      </c>
      <c r="J152" s="325"/>
      <c r="K152" s="296" t="str">
        <f>IF(OR(G152="",I152=""),"",G152-I152)</f>
        <v/>
      </c>
    </row>
    <row r="153" spans="2:13" ht="4.5" customHeight="1">
      <c r="B153" s="230"/>
      <c r="C153" s="295"/>
      <c r="D153" s="227"/>
      <c r="E153" s="281"/>
      <c r="F153" s="281"/>
      <c r="G153" s="296"/>
      <c r="H153" s="296"/>
      <c r="I153" s="298"/>
      <c r="J153" s="298"/>
      <c r="K153" s="296"/>
      <c r="L153" s="247"/>
      <c r="M153" s="247"/>
    </row>
    <row r="154" spans="2:13" ht="16.5" customHeight="1">
      <c r="B154" s="230" t="s">
        <v>33</v>
      </c>
      <c r="C154" s="295"/>
      <c r="D154" s="230"/>
      <c r="E154" s="3"/>
      <c r="F154" s="270"/>
      <c r="G154" s="296" t="str">
        <f>IF(AND($E$10=Lég_Choix!B27,$E$17&gt;0,E154&gt;0),E154/$E$17,IF(AND($E$10=Lég_Choix!B28,$G$19&gt;0,E154&gt;0),E154/$G$19,IF(AND($E$10=Lég_Choix!B29,E154&gt;0),E154/$E$157,"")))</f>
        <v/>
      </c>
      <c r="H154" s="281"/>
      <c r="I154" s="416" t="s">
        <v>34</v>
      </c>
      <c r="J154" s="281"/>
      <c r="K154" s="296"/>
    </row>
    <row r="155" spans="2:13" ht="16.5" customHeight="1">
      <c r="B155" s="233"/>
      <c r="C155" s="328"/>
      <c r="D155" s="230"/>
      <c r="E155" s="300"/>
      <c r="F155" s="300"/>
      <c r="G155" s="329"/>
      <c r="H155" s="300"/>
      <c r="I155" s="329"/>
      <c r="J155" s="300"/>
      <c r="K155" s="329"/>
    </row>
    <row r="156" spans="2:13" ht="4.5" customHeight="1">
      <c r="B156" s="230"/>
      <c r="C156" s="295"/>
      <c r="D156" s="227"/>
      <c r="E156" s="281"/>
      <c r="F156" s="281"/>
      <c r="G156" s="321"/>
      <c r="H156" s="321"/>
      <c r="I156" s="318"/>
      <c r="J156" s="269"/>
      <c r="K156" s="321"/>
    </row>
    <row r="157" spans="2:13" ht="16.5" customHeight="1">
      <c r="B157" s="251" t="s">
        <v>35</v>
      </c>
      <c r="C157" s="330"/>
      <c r="D157" s="331"/>
      <c r="E157" s="332">
        <f>E135+E149+E152+E154</f>
        <v>0</v>
      </c>
      <c r="F157" s="332"/>
      <c r="G157" s="333" t="str">
        <f>IF(OR(E157=0,E10=""),"",IF(AND($E$10&lt;&gt;Lég_Choix!B29,E157&lt;&gt;0),E157/IF($E$10=Lég_Choix!B27,$E$17,IF($E$10=Lég_Choix!B28,$G$19,"")),IF(E10=Lég_Choix!B29,G135+G149+G152+G154,"")))</f>
        <v/>
      </c>
      <c r="H157" s="332"/>
      <c r="I157" s="334" t="str">
        <f>IF(OR(E157=0,E8="",E10="",I135="",I149="",I152=""),"",I135+I149+I152)</f>
        <v/>
      </c>
      <c r="J157" s="335"/>
      <c r="K157" s="303" t="str">
        <f>IF(OR(E8="",E10="",I157=""),"",IF(OR($E$10=Lég_Choix!B29,G157=""),"",G157-I157))</f>
        <v/>
      </c>
    </row>
    <row r="158" spans="2:13" ht="4.5" customHeight="1">
      <c r="B158" s="302"/>
      <c r="C158" s="302"/>
      <c r="D158" s="302"/>
      <c r="E158" s="274"/>
      <c r="F158" s="274"/>
      <c r="G158" s="336"/>
      <c r="H158" s="336"/>
      <c r="I158" s="337"/>
      <c r="J158" s="325"/>
      <c r="K158" s="336"/>
    </row>
    <row r="159" spans="2:13" ht="23.25" customHeight="1">
      <c r="B159" s="4" t="s">
        <v>36</v>
      </c>
      <c r="C159" s="4"/>
      <c r="D159" s="216"/>
      <c r="E159" s="217">
        <f>E97-E157</f>
        <v>0</v>
      </c>
      <c r="F159" s="218"/>
      <c r="G159" s="217" t="str">
        <f>IF(OR(G157="",G97=""),"",IF(AND(E10&lt;&gt;Lég_Choix!B29,G157&lt;&gt;""),G97-G157,""))</f>
        <v/>
      </c>
      <c r="H159" s="219"/>
      <c r="I159" s="222" t="str">
        <f>IF(OR(E159=0,G159="",I97=0,E8="",E10="",I157=""),"",IF(E10=Lég_Choix!B29,"",I97-I157))</f>
        <v/>
      </c>
      <c r="J159" s="219"/>
      <c r="K159" s="219" t="str">
        <f>IF(OR(E8="",E10="",I159=""),"",IF(G159="","",G159-I159))</f>
        <v/>
      </c>
    </row>
    <row r="160" spans="2:13" ht="4.5" customHeight="1">
      <c r="B160" s="230"/>
      <c r="C160" s="230"/>
      <c r="D160" s="230"/>
      <c r="E160" s="230"/>
      <c r="F160" s="230"/>
      <c r="G160" s="227"/>
      <c r="H160" s="227"/>
      <c r="I160" s="227"/>
      <c r="J160" s="227"/>
      <c r="K160" s="227"/>
    </row>
    <row r="161" spans="2:11" ht="4.5" customHeight="1">
      <c r="B161" s="230"/>
      <c r="C161" s="230"/>
      <c r="D161" s="230"/>
      <c r="E161" s="230"/>
      <c r="F161" s="230"/>
      <c r="G161" s="338"/>
      <c r="H161" s="338"/>
      <c r="I161" s="338"/>
      <c r="J161" s="338"/>
      <c r="K161" s="338"/>
    </row>
    <row r="162" spans="2:11" ht="16.5" customHeight="1">
      <c r="B162" s="230" t="s">
        <v>293</v>
      </c>
      <c r="C162" s="230"/>
      <c r="D162" s="230"/>
      <c r="E162" s="230"/>
      <c r="F162" s="230"/>
      <c r="G162" s="338"/>
      <c r="H162" s="338"/>
      <c r="I162" s="338"/>
      <c r="J162" s="338"/>
      <c r="K162" s="338"/>
    </row>
    <row r="163" spans="2:11">
      <c r="B163" s="339"/>
      <c r="C163" s="339"/>
      <c r="D163" s="227"/>
      <c r="E163" s="227"/>
      <c r="F163" s="227"/>
      <c r="G163" s="227"/>
      <c r="H163" s="227"/>
      <c r="I163" s="227"/>
      <c r="J163" s="227"/>
      <c r="K163" s="227"/>
    </row>
    <row r="164" spans="2:11">
      <c r="B164" s="340"/>
      <c r="C164" s="340"/>
    </row>
  </sheetData>
  <sheetProtection insertColumns="0" insertRows="0" deleteColumns="0" deleteRows="0" sort="0" autoFilter="0" pivotTables="0"/>
  <dataConsolidate/>
  <mergeCells count="19">
    <mergeCell ref="I36:K36"/>
    <mergeCell ref="K46:K48"/>
    <mergeCell ref="B73:K73"/>
    <mergeCell ref="B1:K1"/>
    <mergeCell ref="B4:K4"/>
    <mergeCell ref="I6:K10"/>
    <mergeCell ref="E8:G8"/>
    <mergeCell ref="E10:G10"/>
    <mergeCell ref="E12:E13"/>
    <mergeCell ref="I12:I13"/>
    <mergeCell ref="K12:K13"/>
    <mergeCell ref="B113:C113"/>
    <mergeCell ref="I46:I48"/>
    <mergeCell ref="E74:G74"/>
    <mergeCell ref="B100:C100"/>
    <mergeCell ref="B101:C101"/>
    <mergeCell ref="B104:C104"/>
    <mergeCell ref="B111:C111"/>
    <mergeCell ref="E46:G47"/>
  </mergeCells>
  <conditionalFormatting sqref="G49:K66 H67:K67 G92:H92 J92:K92 G155:K157 G154:H154 G80:H80 G85:K91 J80:K80 G95:K104 J154:K154 G109:K153">
    <cfRule type="expression" dxfId="13" priority="56">
      <formula>$E$10="%"</formula>
    </cfRule>
  </conditionalFormatting>
  <conditionalFormatting sqref="G67">
    <cfRule type="expression" dxfId="12" priority="15">
      <formula>$E$10="%"</formula>
    </cfRule>
  </conditionalFormatting>
  <conditionalFormatting sqref="H82 J82:K82 G81:K81">
    <cfRule type="expression" dxfId="11" priority="10">
      <formula>$E$10="%"</formula>
    </cfRule>
  </conditionalFormatting>
  <conditionalFormatting sqref="G84:J84 G83:K83">
    <cfRule type="expression" dxfId="10" priority="9">
      <formula>$E$10="%"</formula>
    </cfRule>
  </conditionalFormatting>
  <conditionalFormatting sqref="K84">
    <cfRule type="expression" dxfId="9" priority="8">
      <formula>$E$10="%"</formula>
    </cfRule>
  </conditionalFormatting>
  <conditionalFormatting sqref="G82">
    <cfRule type="expression" dxfId="8" priority="7">
      <formula>$E$10="%"</formula>
    </cfRule>
  </conditionalFormatting>
  <conditionalFormatting sqref="I80">
    <cfRule type="expression" dxfId="7" priority="6">
      <formula>$E$10="%"</formula>
    </cfRule>
  </conditionalFormatting>
  <conditionalFormatting sqref="G94:J94 G93:K93">
    <cfRule type="expression" dxfId="6" priority="5">
      <formula>$E$10="%"</formula>
    </cfRule>
  </conditionalFormatting>
  <conditionalFormatting sqref="K94">
    <cfRule type="expression" dxfId="5" priority="4">
      <formula>$E$10="%"</formula>
    </cfRule>
  </conditionalFormatting>
  <conditionalFormatting sqref="G106:H106 J106:K106 G105:K105">
    <cfRule type="expression" dxfId="4" priority="3">
      <formula>$E$10="%"</formula>
    </cfRule>
  </conditionalFormatting>
  <conditionalFormatting sqref="G108:J108 G107:K107">
    <cfRule type="expression" dxfId="3" priority="2">
      <formula>$E$10="%"</formula>
    </cfRule>
  </conditionalFormatting>
  <conditionalFormatting sqref="K108">
    <cfRule type="expression" dxfId="2" priority="1">
      <formula>$E$10="%"</formula>
    </cfRule>
  </conditionalFormatting>
  <hyperlinks>
    <hyperlink ref="G22" location="Définitions!A1" display="Voir Définitions" xr:uid="{00000000-0004-0000-0200-000000000000}"/>
    <hyperlink ref="I92" location="Définitions!A1" display="Voir Définitions" xr:uid="{00000000-0004-0000-0200-000001000000}"/>
    <hyperlink ref="I154" location="Définitions!A1" display="Voir Définitions" xr:uid="{00000000-0004-0000-0200-000002000000}"/>
    <hyperlink ref="I82" location="Définitions!A1" display="Voir Définitions" xr:uid="{00000000-0004-0000-0200-000003000000}"/>
    <hyperlink ref="I106" location="Définitions!A1" display="Voir Définitions" xr:uid="{00000000-0004-0000-0200-000004000000}"/>
  </hyperlinks>
  <pageMargins left="0.25" right="0.25" top="0.75" bottom="0.75" header="0.3" footer="0.3"/>
  <pageSetup scale="6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2" id="{A65729BF-36EA-4301-A7B1-72D1F8266EBB}">
            <xm:f>$E$10=Lég_Choix!$B$29</xm:f>
            <x14:dxf>
              <numFmt numFmtId="13" formatCode="0%"/>
            </x14:dxf>
          </x14:cfRule>
          <xm:sqref>G39:K42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Lég_Choix!$B$18:$B$21</xm:f>
          </x14:formula1>
          <xm:sqref>E8:G8</xm:sqref>
        </x14:dataValidation>
        <x14:dataValidation type="list" allowBlank="1" showInputMessage="1" showErrorMessage="1" xr:uid="{00000000-0002-0000-0200-000001000000}">
          <x14:formula1>
            <xm:f>Lég_Choix!$B$27:$B$29</xm:f>
          </x14:formula1>
          <xm:sqref>E10:G10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3:C58"/>
  <sheetViews>
    <sheetView tabSelected="1" workbookViewId="0">
      <selection activeCell="E16" sqref="E16"/>
    </sheetView>
  </sheetViews>
  <sheetFormatPr baseColWidth="10" defaultRowHeight="16.5"/>
  <cols>
    <col min="1" max="1" width="3" style="374" customWidth="1"/>
    <col min="2" max="2" width="27" style="384" customWidth="1"/>
    <col min="3" max="3" width="66.5" style="374" customWidth="1"/>
    <col min="4" max="16384" width="11" style="206"/>
  </cols>
  <sheetData>
    <row r="3" spans="1:3" ht="34.5">
      <c r="B3" s="375" t="s">
        <v>150</v>
      </c>
      <c r="C3" s="288"/>
    </row>
    <row r="4" spans="1:3">
      <c r="B4" s="376"/>
      <c r="C4" s="288"/>
    </row>
    <row r="5" spans="1:3">
      <c r="B5" s="376"/>
      <c r="C5" s="288"/>
    </row>
    <row r="6" spans="1:3" ht="35.25" customHeight="1">
      <c r="A6" s="341"/>
      <c r="B6" s="661" t="s">
        <v>151</v>
      </c>
      <c r="C6" s="661"/>
    </row>
    <row r="7" spans="1:3" ht="15.75">
      <c r="A7" s="341"/>
      <c r="B7" s="377"/>
      <c r="C7" s="377"/>
    </row>
    <row r="8" spans="1:3" ht="15.75">
      <c r="A8" s="341"/>
      <c r="B8" s="378" t="s">
        <v>152</v>
      </c>
      <c r="C8" s="377"/>
    </row>
    <row r="9" spans="1:3" ht="15.75">
      <c r="A9" s="341"/>
      <c r="B9" s="379"/>
      <c r="C9" s="377"/>
    </row>
    <row r="10" spans="1:3" ht="40.5">
      <c r="A10" s="341"/>
      <c r="B10" s="380" t="s">
        <v>153</v>
      </c>
      <c r="C10" s="381" t="s">
        <v>154</v>
      </c>
    </row>
    <row r="11" spans="1:3" ht="15.75">
      <c r="A11" s="341"/>
      <c r="B11" s="379"/>
      <c r="C11" s="377"/>
    </row>
    <row r="12" spans="1:3" ht="41.25">
      <c r="A12" s="341"/>
      <c r="B12" s="380" t="s">
        <v>155</v>
      </c>
      <c r="C12" s="382" t="s">
        <v>156</v>
      </c>
    </row>
    <row r="13" spans="1:3" ht="15.75">
      <c r="A13" s="341"/>
      <c r="B13" s="379"/>
      <c r="C13" s="377"/>
    </row>
    <row r="14" spans="1:3" ht="54.75">
      <c r="A14" s="341"/>
      <c r="B14" s="380" t="s">
        <v>183</v>
      </c>
      <c r="C14" s="382" t="s">
        <v>344</v>
      </c>
    </row>
    <row r="15" spans="1:3" ht="15.75">
      <c r="A15" s="341"/>
      <c r="B15" s="379"/>
      <c r="C15" s="377"/>
    </row>
    <row r="16" spans="1:3" ht="41.25">
      <c r="A16" s="341"/>
      <c r="B16" s="380" t="s">
        <v>157</v>
      </c>
      <c r="C16" s="382" t="s">
        <v>158</v>
      </c>
    </row>
    <row r="17" spans="1:3" ht="15.75">
      <c r="A17" s="341"/>
      <c r="B17" s="380"/>
      <c r="C17" s="381"/>
    </row>
    <row r="18" spans="1:3" ht="15.75">
      <c r="A18" s="341"/>
      <c r="B18" s="380"/>
      <c r="C18" s="377"/>
    </row>
    <row r="19" spans="1:3" ht="15.75">
      <c r="A19" s="341"/>
      <c r="B19" s="378" t="s">
        <v>159</v>
      </c>
      <c r="C19" s="377"/>
    </row>
    <row r="20" spans="1:3" ht="15.75">
      <c r="A20" s="341"/>
      <c r="B20" s="379"/>
      <c r="C20" s="377"/>
    </row>
    <row r="21" spans="1:3" ht="27">
      <c r="A21" s="341"/>
      <c r="B21" s="380" t="s">
        <v>350</v>
      </c>
      <c r="C21" s="381" t="s">
        <v>351</v>
      </c>
    </row>
    <row r="22" spans="1:3" ht="15.75">
      <c r="A22" s="341"/>
      <c r="B22" s="379"/>
      <c r="C22" s="377"/>
    </row>
    <row r="23" spans="1:3" ht="15.75">
      <c r="A23" s="341"/>
      <c r="B23" s="380" t="s">
        <v>183</v>
      </c>
      <c r="C23" s="381" t="s">
        <v>358</v>
      </c>
    </row>
    <row r="24" spans="1:3" ht="15.75">
      <c r="A24" s="341"/>
      <c r="B24" s="379"/>
      <c r="C24" s="377"/>
    </row>
    <row r="25" spans="1:3" ht="15.75">
      <c r="A25" s="341"/>
      <c r="B25" s="380" t="s">
        <v>360</v>
      </c>
      <c r="C25" s="381" t="s">
        <v>359</v>
      </c>
    </row>
    <row r="26" spans="1:3" ht="15.75">
      <c r="A26" s="341"/>
      <c r="B26" s="380"/>
      <c r="C26" s="377"/>
    </row>
    <row r="27" spans="1:3" ht="15.75">
      <c r="A27" s="341"/>
      <c r="B27" s="380"/>
      <c r="C27" s="377"/>
    </row>
    <row r="28" spans="1:3" ht="15.75">
      <c r="A28" s="341"/>
      <c r="B28" s="378" t="s">
        <v>160</v>
      </c>
      <c r="C28" s="377"/>
    </row>
    <row r="29" spans="1:3" ht="15.75">
      <c r="A29" s="341"/>
      <c r="B29" s="379"/>
      <c r="C29" s="377"/>
    </row>
    <row r="30" spans="1:3" ht="15.75">
      <c r="A30" s="341"/>
      <c r="B30" s="380" t="s">
        <v>161</v>
      </c>
      <c r="C30" s="380" t="s">
        <v>345</v>
      </c>
    </row>
    <row r="31" spans="1:3" ht="15.75">
      <c r="A31" s="341"/>
      <c r="B31" s="379"/>
      <c r="C31" s="377"/>
    </row>
    <row r="32" spans="1:3" ht="40.5">
      <c r="A32" s="341"/>
      <c r="B32" s="380" t="s">
        <v>162</v>
      </c>
      <c r="C32" s="381" t="s">
        <v>349</v>
      </c>
    </row>
    <row r="33" spans="1:3" ht="15.75" customHeight="1">
      <c r="A33" s="341"/>
      <c r="B33" s="379"/>
      <c r="C33" s="377"/>
    </row>
    <row r="34" spans="1:3" ht="40.5">
      <c r="A34" s="341"/>
      <c r="B34" s="380" t="s">
        <v>163</v>
      </c>
      <c r="C34" s="381" t="s">
        <v>348</v>
      </c>
    </row>
    <row r="35" spans="1:3" ht="15.75">
      <c r="A35" s="341"/>
      <c r="B35" s="379"/>
      <c r="C35" s="377"/>
    </row>
    <row r="36" spans="1:3" ht="27">
      <c r="A36" s="341"/>
      <c r="B36" s="380" t="s">
        <v>118</v>
      </c>
      <c r="C36" s="381" t="s">
        <v>164</v>
      </c>
    </row>
    <row r="37" spans="1:3" ht="15.75">
      <c r="A37" s="341"/>
      <c r="B37" s="379"/>
      <c r="C37" s="377"/>
    </row>
    <row r="38" spans="1:3" ht="15.75">
      <c r="A38" s="341"/>
      <c r="B38" s="380" t="s">
        <v>74</v>
      </c>
      <c r="C38" s="381" t="s">
        <v>165</v>
      </c>
    </row>
    <row r="39" spans="1:3" ht="15.75">
      <c r="A39" s="341"/>
      <c r="B39" s="379"/>
      <c r="C39" s="377"/>
    </row>
    <row r="40" spans="1:3" ht="15.75">
      <c r="A40" s="341"/>
      <c r="B40" s="380" t="s">
        <v>121</v>
      </c>
      <c r="C40" s="381" t="s">
        <v>166</v>
      </c>
    </row>
    <row r="41" spans="1:3" ht="15.75">
      <c r="A41" s="341"/>
      <c r="B41" s="380"/>
      <c r="C41" s="382"/>
    </row>
    <row r="42" spans="1:3" ht="15.75">
      <c r="A42" s="341"/>
      <c r="B42" s="380"/>
      <c r="C42" s="382"/>
    </row>
    <row r="43" spans="1:3" ht="15.75">
      <c r="A43" s="341"/>
      <c r="B43" s="378" t="s">
        <v>167</v>
      </c>
      <c r="C43" s="377"/>
    </row>
    <row r="44" spans="1:3" ht="15.75">
      <c r="A44" s="341"/>
      <c r="B44" s="379"/>
      <c r="C44" s="377"/>
    </row>
    <row r="45" spans="1:3" ht="27">
      <c r="A45" s="341"/>
      <c r="B45" s="380" t="s">
        <v>355</v>
      </c>
      <c r="C45" s="381" t="s">
        <v>356</v>
      </c>
    </row>
    <row r="46" spans="1:3" ht="15.75">
      <c r="A46" s="341"/>
      <c r="B46" s="379"/>
      <c r="C46" s="377"/>
    </row>
    <row r="47" spans="1:3" ht="40.5">
      <c r="A47" s="341"/>
      <c r="B47" s="380" t="s">
        <v>141</v>
      </c>
      <c r="C47" s="381" t="s">
        <v>347</v>
      </c>
    </row>
    <row r="48" spans="1:3" ht="15.75">
      <c r="A48" s="341"/>
      <c r="B48" s="379"/>
      <c r="C48" s="377"/>
    </row>
    <row r="49" spans="1:3" ht="40.5">
      <c r="A49" s="341"/>
      <c r="B49" s="380" t="s">
        <v>15</v>
      </c>
      <c r="C49" s="381" t="s">
        <v>357</v>
      </c>
    </row>
    <row r="50" spans="1:3" ht="15.75">
      <c r="A50" s="341"/>
      <c r="B50" s="379"/>
      <c r="C50" s="377"/>
    </row>
    <row r="51" spans="1:3" ht="108">
      <c r="A51" s="341"/>
      <c r="B51" s="380" t="s">
        <v>33</v>
      </c>
      <c r="C51" s="381" t="s">
        <v>168</v>
      </c>
    </row>
    <row r="52" spans="1:3" ht="15.75">
      <c r="A52" s="341"/>
      <c r="B52" s="379"/>
      <c r="C52" s="377"/>
    </row>
    <row r="53" spans="1:3" ht="27">
      <c r="A53" s="341"/>
      <c r="B53" s="380" t="s">
        <v>32</v>
      </c>
      <c r="C53" s="381" t="s">
        <v>169</v>
      </c>
    </row>
    <row r="54" spans="1:3" s="578" customFormat="1" ht="70.5" customHeight="1">
      <c r="A54" s="577"/>
      <c r="B54" s="662" t="s">
        <v>354</v>
      </c>
      <c r="C54" s="662"/>
    </row>
    <row r="55" spans="1:3" s="578" customFormat="1" ht="34.5" customHeight="1">
      <c r="A55" s="577"/>
      <c r="B55" s="663" t="s">
        <v>353</v>
      </c>
      <c r="C55" s="663"/>
    </row>
    <row r="56" spans="1:3" ht="15.75">
      <c r="A56" s="341"/>
      <c r="B56" s="379"/>
      <c r="C56" s="377"/>
    </row>
    <row r="57" spans="1:3" ht="40.5">
      <c r="A57" s="341"/>
      <c r="B57" s="380" t="s">
        <v>170</v>
      </c>
      <c r="C57" s="381" t="s">
        <v>346</v>
      </c>
    </row>
    <row r="58" spans="1:3" ht="15.75">
      <c r="A58" s="341"/>
      <c r="B58" s="383"/>
      <c r="C58" s="341"/>
    </row>
  </sheetData>
  <mergeCells count="3">
    <mergeCell ref="B6:C6"/>
    <mergeCell ref="B54:C54"/>
    <mergeCell ref="B55:C55"/>
  </mergeCells>
  <hyperlinks>
    <hyperlink ref="B55:C55" r:id="rId1" location="liste" display="Pour plus d'informations, se réfrer au rapport complet de l'étude de coût de production." xr:uid="{00000000-0004-0000-0300-000000000000}"/>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T267"/>
  <sheetViews>
    <sheetView zoomScale="90" zoomScaleNormal="90" workbookViewId="0">
      <pane xSplit="3" ySplit="3" topLeftCell="D4" activePane="bottomRight" state="frozen"/>
      <selection pane="topRight" activeCell="D1" sqref="D1"/>
      <selection pane="bottomLeft" activeCell="A4" sqref="A4"/>
      <selection pane="bottomRight" activeCell="C267" sqref="C267"/>
    </sheetView>
  </sheetViews>
  <sheetFormatPr baseColWidth="10" defaultRowHeight="16.5"/>
  <cols>
    <col min="1" max="1" width="2.25" customWidth="1"/>
    <col min="2" max="2" width="5.375" style="41" customWidth="1"/>
    <col min="3" max="3" width="29.125" style="56" customWidth="1"/>
    <col min="4" max="4" width="10.125" style="56" customWidth="1"/>
    <col min="8" max="8" width="1.625" customWidth="1"/>
    <col min="9" max="9" width="4.125" customWidth="1"/>
    <col min="10" max="10" width="19.875" style="185" customWidth="1"/>
    <col min="11" max="11" width="4.125" customWidth="1"/>
    <col min="12" max="13" width="11" customWidth="1"/>
    <col min="14" max="14" width="11.75" style="140" customWidth="1"/>
    <col min="15" max="15" width="4.125" customWidth="1"/>
    <col min="16" max="16" width="11" style="157" customWidth="1"/>
    <col min="17" max="19" width="11" customWidth="1"/>
    <col min="20" max="20" width="11.875" customWidth="1"/>
    <col min="21" max="21" width="4.125" style="57" customWidth="1"/>
    <col min="22" max="22" width="11" style="157" customWidth="1"/>
    <col min="23" max="23" width="11.75" customWidth="1"/>
    <col min="24" max="25" width="11" customWidth="1"/>
    <col min="26" max="26" width="12" customWidth="1"/>
    <col min="27" max="27" width="4.125" style="57" customWidth="1"/>
    <col min="28" max="28" width="11" style="157" customWidth="1"/>
    <col min="29" max="29" width="11" customWidth="1"/>
    <col min="30" max="30" width="11" style="157" customWidth="1"/>
    <col min="31" max="31" width="14.625" bestFit="1" customWidth="1"/>
    <col min="32" max="33" width="11" customWidth="1"/>
    <col min="34" max="34" width="14.625" customWidth="1"/>
    <col min="35" max="35" width="4.125" style="57" customWidth="1"/>
    <col min="36" max="36" width="11" style="157" customWidth="1"/>
    <col min="37" max="37" width="12.125" bestFit="1" customWidth="1"/>
    <col min="38" max="39" width="11" customWidth="1"/>
    <col min="40" max="40" width="14.625" bestFit="1" customWidth="1"/>
    <col min="41" max="41" width="4.125" style="57" customWidth="1"/>
    <col min="42" max="42" width="11" style="157" customWidth="1"/>
    <col min="43" max="46" width="11" customWidth="1"/>
    <col min="47" max="47" width="4.125" customWidth="1"/>
  </cols>
  <sheetData>
    <row r="1" spans="1:46" hidden="1" thickBot="1">
      <c r="A1">
        <v>1</v>
      </c>
      <c r="B1" s="41">
        <f>A1+1</f>
        <v>2</v>
      </c>
      <c r="C1" s="41">
        <f t="shared" ref="C1" si="0">B1+1</f>
        <v>3</v>
      </c>
      <c r="D1" s="41">
        <f>C1+1</f>
        <v>4</v>
      </c>
      <c r="E1" s="41">
        <f>D1+1</f>
        <v>5</v>
      </c>
      <c r="F1" s="41">
        <f t="shared" ref="F1:AT1" si="1">E1+1</f>
        <v>6</v>
      </c>
      <c r="G1" s="41">
        <f t="shared" si="1"/>
        <v>7</v>
      </c>
      <c r="H1" s="41">
        <f t="shared" si="1"/>
        <v>8</v>
      </c>
      <c r="I1" s="41">
        <f t="shared" si="1"/>
        <v>9</v>
      </c>
      <c r="J1" s="183">
        <f t="shared" si="1"/>
        <v>10</v>
      </c>
      <c r="K1" s="41">
        <f t="shared" si="1"/>
        <v>11</v>
      </c>
      <c r="L1" s="41">
        <f t="shared" si="1"/>
        <v>12</v>
      </c>
      <c r="M1" s="41">
        <f t="shared" si="1"/>
        <v>13</v>
      </c>
      <c r="N1" s="41">
        <f t="shared" si="1"/>
        <v>14</v>
      </c>
      <c r="O1" s="41">
        <f t="shared" si="1"/>
        <v>15</v>
      </c>
      <c r="P1" s="41">
        <f t="shared" si="1"/>
        <v>16</v>
      </c>
      <c r="Q1" s="41">
        <f t="shared" si="1"/>
        <v>17</v>
      </c>
      <c r="R1" s="41">
        <f t="shared" si="1"/>
        <v>18</v>
      </c>
      <c r="S1" s="41">
        <f t="shared" si="1"/>
        <v>19</v>
      </c>
      <c r="T1" s="41">
        <f t="shared" si="1"/>
        <v>20</v>
      </c>
      <c r="U1" s="41">
        <f t="shared" si="1"/>
        <v>21</v>
      </c>
      <c r="V1" s="41">
        <f t="shared" si="1"/>
        <v>22</v>
      </c>
      <c r="W1" s="41">
        <f t="shared" si="1"/>
        <v>23</v>
      </c>
      <c r="X1" s="41">
        <f t="shared" si="1"/>
        <v>24</v>
      </c>
      <c r="Y1" s="41">
        <f t="shared" si="1"/>
        <v>25</v>
      </c>
      <c r="Z1" s="41">
        <f t="shared" si="1"/>
        <v>26</v>
      </c>
      <c r="AA1" s="41">
        <f t="shared" si="1"/>
        <v>27</v>
      </c>
      <c r="AB1" s="41">
        <f t="shared" ref="AB1" si="2">AA1+1</f>
        <v>28</v>
      </c>
      <c r="AC1" s="41">
        <f t="shared" ref="AC1" si="3">AB1+1</f>
        <v>29</v>
      </c>
      <c r="AD1" s="41">
        <f t="shared" ref="AD1" si="4">AC1+1</f>
        <v>30</v>
      </c>
      <c r="AE1" s="41">
        <f t="shared" si="1"/>
        <v>31</v>
      </c>
      <c r="AF1" s="41">
        <f t="shared" si="1"/>
        <v>32</v>
      </c>
      <c r="AG1" s="41">
        <f t="shared" si="1"/>
        <v>33</v>
      </c>
      <c r="AH1" s="41">
        <f t="shared" si="1"/>
        <v>34</v>
      </c>
      <c r="AI1" s="41">
        <f t="shared" si="1"/>
        <v>35</v>
      </c>
      <c r="AJ1" s="41">
        <f t="shared" si="1"/>
        <v>36</v>
      </c>
      <c r="AK1" s="41">
        <f t="shared" si="1"/>
        <v>37</v>
      </c>
      <c r="AL1" s="41">
        <f t="shared" si="1"/>
        <v>38</v>
      </c>
      <c r="AM1" s="41">
        <f t="shared" si="1"/>
        <v>39</v>
      </c>
      <c r="AN1" s="41">
        <f t="shared" si="1"/>
        <v>40</v>
      </c>
      <c r="AO1" s="41">
        <f t="shared" si="1"/>
        <v>41</v>
      </c>
      <c r="AP1" s="41">
        <f t="shared" si="1"/>
        <v>42</v>
      </c>
      <c r="AQ1" s="41">
        <f t="shared" si="1"/>
        <v>43</v>
      </c>
      <c r="AR1" s="41">
        <f t="shared" si="1"/>
        <v>44</v>
      </c>
      <c r="AS1" s="41">
        <f t="shared" si="1"/>
        <v>45</v>
      </c>
      <c r="AT1" s="41">
        <f t="shared" si="1"/>
        <v>46</v>
      </c>
    </row>
    <row r="2" spans="1:46" s="604" customFormat="1" ht="39.950000000000003" hidden="1" customHeight="1" thickBot="1">
      <c r="B2" s="605"/>
      <c r="C2" s="606" t="s">
        <v>86</v>
      </c>
      <c r="D2" s="607">
        <f>Lég_Choix!H26</f>
        <v>10</v>
      </c>
      <c r="E2" s="605"/>
      <c r="F2" s="605"/>
      <c r="G2" s="605"/>
      <c r="H2" s="605"/>
      <c r="I2" s="605"/>
      <c r="J2" s="608" t="s">
        <v>86</v>
      </c>
      <c r="K2" s="605"/>
      <c r="L2" s="609">
        <v>1</v>
      </c>
      <c r="M2" s="609">
        <v>2</v>
      </c>
      <c r="N2" s="609">
        <v>3</v>
      </c>
      <c r="O2" s="609"/>
      <c r="P2" s="609"/>
      <c r="Q2" s="609"/>
      <c r="R2" s="609">
        <v>4</v>
      </c>
      <c r="S2" s="609">
        <v>5</v>
      </c>
      <c r="T2" s="609">
        <v>6</v>
      </c>
      <c r="U2" s="610"/>
      <c r="V2" s="609"/>
      <c r="W2" s="609"/>
      <c r="X2" s="609">
        <v>7</v>
      </c>
      <c r="Y2" s="609">
        <v>8</v>
      </c>
      <c r="Z2" s="609">
        <v>9</v>
      </c>
      <c r="AA2" s="611"/>
      <c r="AB2" s="612" t="s">
        <v>376</v>
      </c>
      <c r="AC2" s="605"/>
      <c r="AD2" s="605"/>
      <c r="AE2" s="605"/>
      <c r="AF2" s="609">
        <v>10</v>
      </c>
      <c r="AG2" s="609">
        <v>11</v>
      </c>
      <c r="AH2" s="609">
        <v>12</v>
      </c>
      <c r="AI2" s="611"/>
      <c r="AJ2" s="605"/>
      <c r="AK2" s="605"/>
      <c r="AL2" s="609">
        <v>13</v>
      </c>
      <c r="AM2" s="609">
        <v>14</v>
      </c>
      <c r="AN2" s="609">
        <v>15</v>
      </c>
      <c r="AO2" s="611"/>
      <c r="AP2" s="605"/>
      <c r="AQ2" s="605"/>
      <c r="AR2" s="609">
        <v>16</v>
      </c>
      <c r="AS2" s="609">
        <v>17</v>
      </c>
      <c r="AT2" s="609">
        <v>18</v>
      </c>
    </row>
    <row r="3" spans="1:46" ht="47.25" hidden="1" customHeight="1">
      <c r="A3" s="15"/>
      <c r="B3" s="16"/>
      <c r="C3" s="15"/>
      <c r="D3" s="15"/>
    </row>
    <row r="4" spans="1:46" hidden="1">
      <c r="A4" s="15"/>
      <c r="B4" s="17"/>
      <c r="C4" s="18" t="s">
        <v>38</v>
      </c>
      <c r="D4" s="18"/>
      <c r="E4" s="18" t="s">
        <v>65</v>
      </c>
      <c r="F4" s="18"/>
      <c r="G4" s="58" t="s">
        <v>4</v>
      </c>
      <c r="H4" s="59"/>
      <c r="P4" s="157" t="s">
        <v>73</v>
      </c>
      <c r="V4" s="157" t="s">
        <v>73</v>
      </c>
      <c r="AB4" s="157" t="s">
        <v>73</v>
      </c>
      <c r="AD4" s="157" t="s">
        <v>73</v>
      </c>
      <c r="AJ4" s="157" t="s">
        <v>73</v>
      </c>
      <c r="AL4">
        <f>AB6</f>
        <v>7436.3</v>
      </c>
      <c r="AM4">
        <f>AB7</f>
        <v>800145</v>
      </c>
      <c r="AP4" s="157" t="s">
        <v>73</v>
      </c>
    </row>
    <row r="5" spans="1:46" ht="15.75" hidden="1">
      <c r="B5" s="19"/>
      <c r="C5" s="19" t="s">
        <v>182</v>
      </c>
      <c r="D5" s="19"/>
      <c r="E5" s="60">
        <v>363.96134469696966</v>
      </c>
      <c r="F5" s="19"/>
      <c r="G5" s="20" t="s">
        <v>185</v>
      </c>
      <c r="H5" s="20"/>
      <c r="AB5"/>
    </row>
    <row r="6" spans="1:46" ht="15.75" hidden="1">
      <c r="B6" s="19"/>
      <c r="C6" s="19" t="s">
        <v>183</v>
      </c>
      <c r="D6" s="19"/>
      <c r="E6" s="61">
        <v>7441.2944729822502</v>
      </c>
      <c r="F6" s="19"/>
      <c r="G6" s="20" t="s">
        <v>186</v>
      </c>
      <c r="H6" s="20"/>
      <c r="L6" t="s">
        <v>89</v>
      </c>
      <c r="N6" s="140">
        <f>G202+G228+G233</f>
        <v>1652867.775524471</v>
      </c>
      <c r="R6" t="s">
        <v>89</v>
      </c>
      <c r="T6" s="140">
        <f>Q202+Q228+Q233</f>
        <v>1770533.7846827679</v>
      </c>
      <c r="X6" t="s">
        <v>89</v>
      </c>
      <c r="Z6" s="140">
        <f>W202+W228+W233</f>
        <v>1751258.3893272416</v>
      </c>
      <c r="AB6" s="162">
        <f>AB227</f>
        <v>7436.3</v>
      </c>
      <c r="AF6" t="s">
        <v>89</v>
      </c>
      <c r="AH6" s="140">
        <f>AE202+AE228+AE233</f>
        <v>1705390.0651264568</v>
      </c>
      <c r="AL6" t="s">
        <v>89</v>
      </c>
      <c r="AN6" s="140">
        <f>AK202+AK228+AK233</f>
        <v>2096771.4076709112</v>
      </c>
      <c r="AR6" t="s">
        <v>89</v>
      </c>
      <c r="AT6" s="140">
        <f>AQ202+AQ228+AQ233</f>
        <v>18080.5482820943</v>
      </c>
    </row>
    <row r="7" spans="1:46" ht="15.75" hidden="1" customHeight="1">
      <c r="B7" s="19"/>
      <c r="C7" s="19" t="s">
        <v>184</v>
      </c>
      <c r="D7" s="19"/>
      <c r="E7" s="60">
        <v>776082.21763994067</v>
      </c>
      <c r="F7" s="62"/>
      <c r="G7" s="20" t="s">
        <v>187</v>
      </c>
      <c r="H7" s="20"/>
      <c r="M7" s="201"/>
      <c r="T7" s="140"/>
      <c r="Z7" s="140"/>
      <c r="AB7" s="162">
        <f>AB98</f>
        <v>800145</v>
      </c>
      <c r="AH7" s="140"/>
      <c r="AN7" s="140"/>
      <c r="AT7" s="140"/>
    </row>
    <row r="8" spans="1:46" ht="15.75" hidden="1">
      <c r="B8" s="20"/>
      <c r="C8" s="20"/>
      <c r="D8" s="20"/>
      <c r="E8" s="63"/>
      <c r="F8" s="64"/>
      <c r="G8" s="20"/>
      <c r="H8" s="20"/>
      <c r="L8" s="666" t="s">
        <v>90</v>
      </c>
      <c r="M8" s="666"/>
      <c r="R8" s="666" t="s">
        <v>90</v>
      </c>
      <c r="S8" s="666"/>
      <c r="X8" s="666" t="s">
        <v>90</v>
      </c>
      <c r="Y8" s="666"/>
      <c r="AB8"/>
      <c r="AF8" s="666" t="s">
        <v>90</v>
      </c>
      <c r="AG8" s="666"/>
      <c r="AL8" s="666" t="s">
        <v>90</v>
      </c>
      <c r="AM8" s="666"/>
      <c r="AR8" s="666" t="s">
        <v>90</v>
      </c>
      <c r="AS8" s="666"/>
    </row>
    <row r="9" spans="1:46" ht="15.75" hidden="1">
      <c r="B9" s="19"/>
      <c r="C9" s="19"/>
      <c r="D9" s="19"/>
      <c r="E9" s="60"/>
      <c r="F9" s="65"/>
      <c r="G9" s="20"/>
      <c r="H9" s="20"/>
      <c r="L9" s="666"/>
      <c r="M9" s="666"/>
      <c r="N9" s="140">
        <f>G21+G37+G42+G51+G60+G66+G70+G75+G80+G88+G94+G99+G110+G115+G120+G126+G131+G136+G147+G154</f>
        <v>1468930.2584611587</v>
      </c>
      <c r="R9" s="666"/>
      <c r="S9" s="666"/>
      <c r="T9" s="140">
        <f>Q21+Q37+Q42+Q51+Q60+Q66+Q70+Q75+Q80+Q88+Q94+Q99+Q110+Q115+Q120+Q126+Q131+Q136+Q147+Q154</f>
        <v>1570533.8498760904</v>
      </c>
      <c r="X9" s="666"/>
      <c r="Y9" s="666"/>
      <c r="Z9" s="140">
        <f>W21+W37+W42+W51+W60+W66+W70+W75+W80+W88+W94+W99+W110+W115+W120+W126+W131+W136+W147+W154</f>
        <v>1593918.3523914448</v>
      </c>
      <c r="AB9"/>
      <c r="AF9" s="666"/>
      <c r="AG9" s="666"/>
      <c r="AH9" s="140">
        <f>AE21+AE37+AE42+AE51+AE60+AE66+AE70+AE75+AE80+AE88+AE94+AE99+AE110+AE115+AE120+AE126+AE131+AE136+AE147+AE154</f>
        <v>1681905.0665997122</v>
      </c>
      <c r="AL9" s="666"/>
      <c r="AM9" s="666"/>
      <c r="AN9" s="140">
        <f>AK21+AK37+AK42+AK51+AK60+AK66+AK70+AK75+AK80+AK88+AK94+AK99+AK110+AK115+AK120+AK126+AK131+AK136+AK147+AK154</f>
        <v>1946036.0484615469</v>
      </c>
      <c r="AR9" s="666"/>
      <c r="AS9" s="666"/>
      <c r="AT9" s="140">
        <f>AQ21+AQ37+AQ42+AQ51+AQ60+AQ66+AQ70+AQ75+AQ80+AQ88+AQ94+AQ99+AQ110+AQ115+AQ120+AQ126+AQ131+AQ136+AQ147+AQ154</f>
        <v>88203.114004290357</v>
      </c>
    </row>
    <row r="10" spans="1:46" ht="15.75" hidden="1">
      <c r="B10" s="20"/>
      <c r="C10" s="19"/>
      <c r="D10" s="19"/>
      <c r="E10" s="66"/>
      <c r="F10" s="67"/>
      <c r="G10" s="20"/>
      <c r="H10" s="20"/>
      <c r="AB10"/>
    </row>
    <row r="11" spans="1:46" ht="15.75" hidden="1">
      <c r="A11" s="21"/>
      <c r="B11" s="17">
        <v>1</v>
      </c>
      <c r="C11" s="18" t="s">
        <v>192</v>
      </c>
      <c r="D11" s="18" t="s">
        <v>65</v>
      </c>
      <c r="E11" s="18"/>
      <c r="F11" s="18" t="s">
        <v>66</v>
      </c>
      <c r="G11" s="68" t="s">
        <v>67</v>
      </c>
      <c r="H11" s="20"/>
      <c r="J11" s="186" t="s">
        <v>88</v>
      </c>
      <c r="L11" s="69" t="s">
        <v>213</v>
      </c>
      <c r="M11" s="69" t="s">
        <v>214</v>
      </c>
      <c r="N11" s="141" t="s">
        <v>85</v>
      </c>
      <c r="Q11" s="69" t="s">
        <v>67</v>
      </c>
      <c r="R11" s="69" t="s">
        <v>213</v>
      </c>
      <c r="S11" s="69" t="s">
        <v>214</v>
      </c>
      <c r="T11" s="141" t="s">
        <v>85</v>
      </c>
      <c r="W11" s="69" t="s">
        <v>67</v>
      </c>
      <c r="X11" s="69" t="s">
        <v>213</v>
      </c>
      <c r="Y11" s="69" t="s">
        <v>214</v>
      </c>
      <c r="Z11" s="141" t="s">
        <v>85</v>
      </c>
      <c r="AB11"/>
      <c r="AC11" s="140"/>
      <c r="AE11" s="69" t="s">
        <v>67</v>
      </c>
      <c r="AF11" s="69" t="s">
        <v>213</v>
      </c>
      <c r="AG11" s="69" t="s">
        <v>214</v>
      </c>
      <c r="AH11" s="141" t="s">
        <v>85</v>
      </c>
      <c r="AK11" s="69" t="s">
        <v>67</v>
      </c>
      <c r="AL11" s="69" t="s">
        <v>213</v>
      </c>
      <c r="AM11" s="69" t="s">
        <v>214</v>
      </c>
      <c r="AN11" s="141" t="s">
        <v>85</v>
      </c>
      <c r="AQ11" s="69" t="s">
        <v>67</v>
      </c>
      <c r="AR11" s="69" t="s">
        <v>213</v>
      </c>
      <c r="AS11" s="69" t="s">
        <v>214</v>
      </c>
      <c r="AT11" s="141" t="s">
        <v>85</v>
      </c>
    </row>
    <row r="12" spans="1:46" ht="15.75" hidden="1">
      <c r="B12" s="22"/>
      <c r="C12" s="403" t="s">
        <v>188</v>
      </c>
      <c r="D12" s="23"/>
      <c r="E12" s="70"/>
      <c r="F12" s="71"/>
      <c r="G12" s="72"/>
      <c r="H12" s="20"/>
      <c r="J12" s="187">
        <f>IF($D$2=$L$2,L12,IF($D$2=$M$2,M12,IF($D$2=$N$2,N12,IF($D$2=$R$2,R12,IF($D$2=$S$2,S12,IF($D$2=$T$2,T12,IF($D$2=$X$2,X12,IF($D$2=$Y$2,Y12,IF($D$2=$Z$2,Z12,IF($D$2=$AF$2,AF12,IF($D$2=$AG$2,AG12,IF($D$2=$AH$2,AH12,IF($D$2=$AL$2,AL12,IF($D$2=$AM$2,AM12,IF($D$2=$AN$2,AN12,IF($D$2=$AR$2,AR12,IF($D$2=$AS$2,AS12,IF($D$2=$AT$2,AT12))))))))))))))))))</f>
        <v>0</v>
      </c>
      <c r="L12" s="73"/>
      <c r="M12" s="73"/>
      <c r="N12" s="142"/>
      <c r="Q12" s="140"/>
      <c r="R12" s="140"/>
      <c r="S12" s="140"/>
      <c r="T12" s="158"/>
      <c r="W12" s="140"/>
      <c r="X12" s="140"/>
      <c r="Y12" s="158"/>
      <c r="AB12"/>
      <c r="AC12" s="140"/>
      <c r="AE12" s="140"/>
      <c r="AF12" s="140"/>
      <c r="AG12" s="158"/>
      <c r="AK12" s="140"/>
      <c r="AL12" s="140"/>
      <c r="AM12" s="158"/>
      <c r="AQ12" s="140"/>
      <c r="AR12" s="140"/>
      <c r="AS12" s="158"/>
    </row>
    <row r="13" spans="1:46" ht="15.75" hidden="1">
      <c r="B13" s="24"/>
      <c r="C13" s="25" t="s">
        <v>189</v>
      </c>
      <c r="D13" s="25">
        <v>65.040569985569974</v>
      </c>
      <c r="E13" s="25"/>
      <c r="F13" s="25">
        <v>324.40569749202149</v>
      </c>
      <c r="G13" s="74">
        <v>21099.531471447466</v>
      </c>
      <c r="H13" s="20"/>
      <c r="J13" s="188">
        <f t="shared" ref="J13:J20" si="5">IF($D$2=$L$2,L13,IF($D$2=$M$2,M13,IF($D$2=$N$2,N13,IF($D$2=$R$2,R13,IF($D$2=$S$2,S13,IF($D$2=$T$2,T13,IF($D$2=$X$2,X13,IF($D$2=$Y$2,Y13,IF($D$2=$Z$2,Z13,IF($D$2=$AF$2,AF13,IF($D$2=$AG$2,AG13,IF($D$2=$AH$2,AH13,IF($D$2=$AL$2,AL13,IF($D$2=$AM$2,AM13,IF($D$2=$AN$2,AN13,IF($D$2=$AR$2,AR13,IF($D$2=$AS$2,AS13,IF($D$2=$AT$2,AT13))))))))))))))))))</f>
        <v>2.8911360895743079</v>
      </c>
      <c r="L13" s="75">
        <v>2.8354651933283055</v>
      </c>
      <c r="M13" s="75">
        <v>2.7187237372363664</v>
      </c>
      <c r="N13" s="143"/>
      <c r="P13" s="156">
        <f>328.77/328.77</f>
        <v>1</v>
      </c>
      <c r="Q13" s="140">
        <f>G13*P13</f>
        <v>21099.531471447466</v>
      </c>
      <c r="R13" s="579">
        <f>Q13/$E$6</f>
        <v>2.8354651933283055</v>
      </c>
      <c r="S13" s="579">
        <f>Q13/($E$7/100)</f>
        <v>2.7187237372363664</v>
      </c>
      <c r="V13" s="156">
        <f>329.81/328.77</f>
        <v>1.0031633056544089</v>
      </c>
      <c r="W13" s="140">
        <f>G13*V13</f>
        <v>21166.275738656474</v>
      </c>
      <c r="X13" s="579">
        <f>W13/$E$6</f>
        <v>2.8444346364072404</v>
      </c>
      <c r="Y13" s="579">
        <f>W13/($E$7/100)</f>
        <v>2.7273238914071416</v>
      </c>
      <c r="AB13"/>
      <c r="AC13" s="140"/>
      <c r="AD13" s="156">
        <f>335/329.81</f>
        <v>1.0157363330402354</v>
      </c>
      <c r="AE13" s="579">
        <f t="shared" ref="AE13:AE15" si="6">W13*AD13</f>
        <v>21499.355302901426</v>
      </c>
      <c r="AF13" s="579">
        <f>AE13/$AB$6</f>
        <v>2.8911360895743079</v>
      </c>
      <c r="AG13" s="579">
        <f>AE13/($AB$7/100)</f>
        <v>2.6869324063640248</v>
      </c>
      <c r="AJ13" s="156">
        <f>352.5/335</f>
        <v>1.0522388059701493</v>
      </c>
      <c r="AK13" s="140">
        <f>AE13*AJ13</f>
        <v>22622.455953052995</v>
      </c>
      <c r="AL13" s="579">
        <f>AK13/$AB$6</f>
        <v>3.0421655867908766</v>
      </c>
      <c r="AM13" s="579">
        <f>AK13/($AB$7/100)</f>
        <v>2.8272945469949815</v>
      </c>
      <c r="AP13" s="156"/>
      <c r="AQ13" s="140">
        <f>AK13*AP13</f>
        <v>0</v>
      </c>
      <c r="AR13" s="579">
        <f>AQ13/$AB$6</f>
        <v>0</v>
      </c>
      <c r="AS13" s="579">
        <f>AQ13/($AB$7/100)</f>
        <v>0</v>
      </c>
    </row>
    <row r="14" spans="1:46" ht="15.75" hidden="1">
      <c r="B14" s="24"/>
      <c r="C14" s="25" t="s">
        <v>190</v>
      </c>
      <c r="D14" s="25">
        <v>49.679985569985568</v>
      </c>
      <c r="E14" s="25"/>
      <c r="F14" s="25">
        <v>189.13100717056903</v>
      </c>
      <c r="G14" s="74">
        <v>9396.0257070707066</v>
      </c>
      <c r="H14" s="20"/>
      <c r="J14" s="188">
        <f t="shared" si="5"/>
        <v>1.2874783052429788</v>
      </c>
      <c r="L14" s="75">
        <v>1.2626869882902321</v>
      </c>
      <c r="M14" s="75">
        <v>1.2106997807067321</v>
      </c>
      <c r="N14" s="143"/>
      <c r="P14" s="156">
        <f>328.77/328.77</f>
        <v>1</v>
      </c>
      <c r="Q14" s="140">
        <f>G14*P14</f>
        <v>9396.0257070707066</v>
      </c>
      <c r="R14" s="579">
        <f>Q14/$E$6</f>
        <v>1.2626869882902321</v>
      </c>
      <c r="S14" s="579">
        <f>Q14/($E$7/100)</f>
        <v>1.2106997807067323</v>
      </c>
      <c r="V14" s="156">
        <f>329.81/328.77</f>
        <v>1.0031633056544089</v>
      </c>
      <c r="W14" s="140">
        <f>G14*V14</f>
        <v>9425.7482083188552</v>
      </c>
      <c r="X14" s="579">
        <f>W14/$E$6</f>
        <v>1.2666812531800391</v>
      </c>
      <c r="Y14" s="579">
        <f>W14/($E$7/100)</f>
        <v>1.2145295941688334</v>
      </c>
      <c r="AB14"/>
      <c r="AC14" s="140"/>
      <c r="AD14" s="156">
        <f>AD13</f>
        <v>1.0157363330402354</v>
      </c>
      <c r="AE14" s="579">
        <f t="shared" si="6"/>
        <v>9574.074921278363</v>
      </c>
      <c r="AF14" s="579">
        <f t="shared" ref="AF14:AF20" si="7">AE14/$AB$6</f>
        <v>1.2874783052429788</v>
      </c>
      <c r="AG14" s="579">
        <f t="shared" ref="AG14:AG20" si="8">AE14/($AB$7/100)</f>
        <v>1.1965424918331506</v>
      </c>
      <c r="AJ14" s="156">
        <f>352.5/335</f>
        <v>1.0522388059701493</v>
      </c>
      <c r="AK14" s="140">
        <f t="shared" ref="AK14:AK15" si="9">AE14*AJ14</f>
        <v>10074.213163434695</v>
      </c>
      <c r="AL14" s="579">
        <f t="shared" ref="AL14:AL20" si="10">AK14/$AB$6</f>
        <v>1.3547346346213434</v>
      </c>
      <c r="AM14" s="579">
        <f t="shared" ref="AM14:AM20" si="11">AK14/($AB$7/100)</f>
        <v>1.2590484428990614</v>
      </c>
      <c r="AP14" s="156"/>
      <c r="AQ14" s="140">
        <f t="shared" ref="AQ14:AQ15" si="12">AK14*AP14</f>
        <v>0</v>
      </c>
      <c r="AR14" s="579">
        <f t="shared" ref="AR14:AR20" si="13">AQ14/$AB$6</f>
        <v>0</v>
      </c>
      <c r="AS14" s="579">
        <f t="shared" ref="AS14:AS20" si="14">AQ14/($AB$7/100)</f>
        <v>0</v>
      </c>
    </row>
    <row r="15" spans="1:46" ht="15.75" hidden="1">
      <c r="B15" s="24"/>
      <c r="C15" s="25" t="s">
        <v>191</v>
      </c>
      <c r="D15" s="25">
        <v>0.64474025974025984</v>
      </c>
      <c r="E15" s="25"/>
      <c r="F15" s="25">
        <v>1242.0640141486317</v>
      </c>
      <c r="G15" s="74">
        <v>800.80867509621862</v>
      </c>
      <c r="H15" s="20"/>
      <c r="J15" s="188">
        <f t="shared" si="5"/>
        <v>0.10768912968764285</v>
      </c>
      <c r="L15" s="75">
        <v>0.10761685053639307</v>
      </c>
      <c r="M15" s="75">
        <v>0.10318606159170493</v>
      </c>
      <c r="N15" s="143"/>
      <c r="P15" s="156">
        <f>850/850</f>
        <v>1</v>
      </c>
      <c r="Q15" s="140">
        <f t="shared" ref="Q15:Q19" si="15">G15*P15</f>
        <v>800.80867509621862</v>
      </c>
      <c r="R15" s="579">
        <f>Q15/$E$6</f>
        <v>0.10761685053639307</v>
      </c>
      <c r="S15" s="579">
        <f>Q15/($E$7/100)</f>
        <v>0.10318606159170492</v>
      </c>
      <c r="V15" s="156">
        <v>1</v>
      </c>
      <c r="W15" s="140">
        <f>G15*V15</f>
        <v>800.80867509621862</v>
      </c>
      <c r="X15" s="579">
        <f>W15/$E$6</f>
        <v>0.10761685053639307</v>
      </c>
      <c r="Y15" s="579">
        <f>W15/($E$7/100)</f>
        <v>0.10318606159170492</v>
      </c>
      <c r="AB15"/>
      <c r="AC15" s="140"/>
      <c r="AD15" s="156">
        <f>850/850</f>
        <v>1</v>
      </c>
      <c r="AE15" s="579">
        <f t="shared" si="6"/>
        <v>800.80867509621862</v>
      </c>
      <c r="AF15" s="579">
        <f t="shared" si="7"/>
        <v>0.10768912968764285</v>
      </c>
      <c r="AG15" s="579">
        <f t="shared" si="8"/>
        <v>0.10008294435336328</v>
      </c>
      <c r="AJ15" s="156">
        <f>850/850</f>
        <v>1</v>
      </c>
      <c r="AK15" s="140">
        <f t="shared" si="9"/>
        <v>800.80867509621862</v>
      </c>
      <c r="AL15" s="579">
        <f t="shared" si="10"/>
        <v>0.10768912968764285</v>
      </c>
      <c r="AM15" s="579">
        <f t="shared" si="11"/>
        <v>0.10008294435336328</v>
      </c>
      <c r="AP15" s="156"/>
      <c r="AQ15" s="140">
        <f t="shared" si="12"/>
        <v>0</v>
      </c>
      <c r="AR15" s="579">
        <f t="shared" si="13"/>
        <v>0</v>
      </c>
      <c r="AS15" s="579">
        <f t="shared" si="14"/>
        <v>0</v>
      </c>
    </row>
    <row r="16" spans="1:46" ht="15.75" hidden="1">
      <c r="B16" s="24"/>
      <c r="C16" s="55" t="s">
        <v>196</v>
      </c>
      <c r="D16" s="25"/>
      <c r="E16" s="25"/>
      <c r="F16" s="25"/>
      <c r="G16" s="74">
        <v>31296.365853614392</v>
      </c>
      <c r="H16" s="20"/>
      <c r="J16" s="188">
        <f t="shared" si="5"/>
        <v>4.2863035245049295</v>
      </c>
      <c r="L16" s="75">
        <v>4.2057690321549313</v>
      </c>
      <c r="M16" s="75">
        <v>4.0326095795348031</v>
      </c>
      <c r="N16" s="143"/>
      <c r="Q16" s="140">
        <f>SUM(Q13:Q15)</f>
        <v>31296.365853614392</v>
      </c>
      <c r="R16" s="579">
        <f>Q16/$E$6</f>
        <v>4.2057690321549304</v>
      </c>
      <c r="S16" s="579">
        <f>Q16/($E$7/100)</f>
        <v>4.032609579534804</v>
      </c>
      <c r="W16" s="140">
        <f>SUM(W13:W15)</f>
        <v>31392.832622071546</v>
      </c>
      <c r="X16" s="579">
        <f>W16/$E$6</f>
        <v>4.2187327401236718</v>
      </c>
      <c r="Y16" s="579">
        <f>W16/($E$7/100)</f>
        <v>4.0450395471676801</v>
      </c>
      <c r="AB16"/>
      <c r="AC16" s="140"/>
      <c r="AE16" s="579">
        <f>SUM(AE13:AE15)</f>
        <v>31874.238899276006</v>
      </c>
      <c r="AF16" s="579">
        <f t="shared" si="7"/>
        <v>4.2863035245049295</v>
      </c>
      <c r="AG16" s="579">
        <f t="shared" si="8"/>
        <v>3.9835578425505385</v>
      </c>
      <c r="AK16" s="140">
        <f>SUM(AK13:AK15)</f>
        <v>33497.477791583908</v>
      </c>
      <c r="AL16" s="579">
        <f t="shared" si="10"/>
        <v>4.5045893510998622</v>
      </c>
      <c r="AM16" s="579">
        <f t="shared" si="11"/>
        <v>4.1864259342474064</v>
      </c>
      <c r="AQ16" s="140">
        <f>SUM(AQ13:AQ15)</f>
        <v>0</v>
      </c>
      <c r="AR16" s="579">
        <f t="shared" si="13"/>
        <v>0</v>
      </c>
      <c r="AS16" s="579">
        <f t="shared" si="14"/>
        <v>0</v>
      </c>
    </row>
    <row r="17" spans="1:46" ht="15.75" hidden="1">
      <c r="B17" s="24"/>
      <c r="C17" s="404" t="s">
        <v>193</v>
      </c>
      <c r="D17" s="25"/>
      <c r="E17" s="25"/>
      <c r="F17" s="25"/>
      <c r="G17" s="74"/>
      <c r="H17" s="20"/>
      <c r="J17" s="188">
        <f t="shared" si="5"/>
        <v>0</v>
      </c>
      <c r="L17" s="75"/>
      <c r="M17" s="75"/>
      <c r="N17" s="143"/>
      <c r="Q17" s="140"/>
      <c r="R17" s="140"/>
      <c r="S17" s="158"/>
      <c r="W17" s="140"/>
      <c r="X17" s="140"/>
      <c r="Y17" s="158"/>
      <c r="AB17"/>
      <c r="AC17" s="140"/>
      <c r="AE17" s="579"/>
      <c r="AF17" s="579">
        <f t="shared" si="7"/>
        <v>0</v>
      </c>
      <c r="AG17" s="579">
        <f t="shared" si="8"/>
        <v>0</v>
      </c>
      <c r="AK17" s="140"/>
      <c r="AL17" s="579">
        <f t="shared" si="10"/>
        <v>0</v>
      </c>
      <c r="AM17" s="579">
        <f t="shared" si="11"/>
        <v>0</v>
      </c>
      <c r="AQ17" s="140"/>
      <c r="AR17" s="579">
        <f t="shared" si="13"/>
        <v>0</v>
      </c>
      <c r="AS17" s="579">
        <f t="shared" si="14"/>
        <v>0</v>
      </c>
    </row>
    <row r="18" spans="1:46" ht="15.75" hidden="1">
      <c r="B18" s="24"/>
      <c r="C18" s="405" t="s">
        <v>194</v>
      </c>
      <c r="D18" s="25">
        <v>155.86904761904762</v>
      </c>
      <c r="E18" s="25"/>
      <c r="F18" s="25">
        <v>41.550452990147406</v>
      </c>
      <c r="G18" s="74">
        <v>6476.4295357142855</v>
      </c>
      <c r="H18" s="20"/>
      <c r="J18" s="188">
        <f t="shared" si="5"/>
        <v>0.87950471484091752</v>
      </c>
      <c r="L18" s="75">
        <v>0.87033641246544091</v>
      </c>
      <c r="M18" s="75">
        <v>0.83450301894676204</v>
      </c>
      <c r="N18" s="143"/>
      <c r="P18" s="156">
        <f>36.07/39.57</f>
        <v>0.91154915339903964</v>
      </c>
      <c r="Q18" s="140">
        <f t="shared" si="15"/>
        <v>5903.5838603288921</v>
      </c>
      <c r="R18" s="579">
        <f>Q18/$E$6</f>
        <v>0.79335441995523004</v>
      </c>
      <c r="S18" s="579">
        <f>Q18/($E$7/100)</f>
        <v>0.76069052042986363</v>
      </c>
      <c r="V18" s="156">
        <f>39.75/39.57</f>
        <v>1.0045489006823352</v>
      </c>
      <c r="W18" s="140">
        <f>G18*V18</f>
        <v>6505.8901704483915</v>
      </c>
      <c r="X18" s="579">
        <f>W18/$E$6</f>
        <v>0.8742954863659661</v>
      </c>
      <c r="Y18" s="579">
        <f>W18/($E$7/100)</f>
        <v>0.83829909029905969</v>
      </c>
      <c r="AB18"/>
      <c r="AC18" s="140"/>
      <c r="AD18" s="156">
        <f>39.96/39.75</f>
        <v>1.0052830188679245</v>
      </c>
      <c r="AE18" s="579">
        <f t="shared" ref="AE18:AE19" si="16">W18*AD18</f>
        <v>6540.2609109715149</v>
      </c>
      <c r="AF18" s="579">
        <f t="shared" si="7"/>
        <v>0.87950471484091752</v>
      </c>
      <c r="AG18" s="579">
        <f t="shared" si="8"/>
        <v>0.81738446293753197</v>
      </c>
      <c r="AJ18" s="156">
        <f>50.72/39.96</f>
        <v>1.2692692692692693</v>
      </c>
      <c r="AK18" s="140">
        <f t="shared" ref="AK18:AK19" si="17">AE18*AJ18</f>
        <v>8301.3521872991805</v>
      </c>
      <c r="AL18" s="579">
        <f t="shared" si="10"/>
        <v>1.1163283067250085</v>
      </c>
      <c r="AM18" s="579">
        <f t="shared" si="11"/>
        <v>1.0374809799847753</v>
      </c>
      <c r="AP18" s="156"/>
      <c r="AQ18" s="140">
        <f t="shared" ref="AQ18:AQ19" si="18">AK18*AP18</f>
        <v>0</v>
      </c>
      <c r="AR18" s="579">
        <f t="shared" si="13"/>
        <v>0</v>
      </c>
      <c r="AS18" s="579">
        <f t="shared" si="14"/>
        <v>0</v>
      </c>
    </row>
    <row r="19" spans="1:46" ht="15.75" hidden="1">
      <c r="B19" s="24"/>
      <c r="C19" s="405" t="s">
        <v>195</v>
      </c>
      <c r="D19" s="25">
        <v>119.29476190476187</v>
      </c>
      <c r="E19" s="25"/>
      <c r="F19" s="25">
        <v>70.706376156432611</v>
      </c>
      <c r="G19" s="74">
        <v>8434.9003087301608</v>
      </c>
      <c r="H19" s="20"/>
      <c r="J19" s="188">
        <f t="shared" si="5"/>
        <v>1.1410961203224306</v>
      </c>
      <c r="L19" s="75">
        <v>1.1335259395197275</v>
      </c>
      <c r="M19" s="75">
        <v>1.0868565362031641</v>
      </c>
      <c r="N19" s="143"/>
      <c r="P19" s="156">
        <f>61.47/64.97</f>
        <v>0.94612898260735723</v>
      </c>
      <c r="Q19" s="140">
        <f t="shared" si="15"/>
        <v>7980.5036474933504</v>
      </c>
      <c r="R19" s="579">
        <f>Q19/$E$6</f>
        <v>1.0724617439168485</v>
      </c>
      <c r="S19" s="579">
        <f>Q19/($E$7/100)</f>
        <v>1.0283064688380559</v>
      </c>
      <c r="V19" s="156">
        <f>65.15/64.97</f>
        <v>1.0027705094659074</v>
      </c>
      <c r="W19" s="140">
        <f>G19*V19</f>
        <v>8458.2692798794833</v>
      </c>
      <c r="X19" s="579">
        <f>W19/$E$6</f>
        <v>1.1366663838650186</v>
      </c>
      <c r="Y19" s="579">
        <f>W19/($E$7/100)</f>
        <v>1.0898676825247984</v>
      </c>
      <c r="AB19"/>
      <c r="AC19" s="140"/>
      <c r="AD19" s="156">
        <f>65.36/65.15</f>
        <v>1.0032233307751341</v>
      </c>
      <c r="AE19" s="579">
        <f t="shared" si="16"/>
        <v>8485.5330795536902</v>
      </c>
      <c r="AF19" s="579">
        <f t="shared" si="7"/>
        <v>1.1410961203224306</v>
      </c>
      <c r="AG19" s="579">
        <f t="shared" si="8"/>
        <v>1.0604994194244406</v>
      </c>
      <c r="AJ19" s="156">
        <f>76.12/65.36</f>
        <v>1.1646266829865362</v>
      </c>
      <c r="AK19" s="140">
        <f t="shared" si="17"/>
        <v>9882.4782438131406</v>
      </c>
      <c r="AL19" s="579">
        <f t="shared" si="10"/>
        <v>1.3289509895799174</v>
      </c>
      <c r="AM19" s="579">
        <f t="shared" si="11"/>
        <v>1.2350859211534335</v>
      </c>
      <c r="AP19" s="156"/>
      <c r="AQ19" s="140">
        <f t="shared" si="18"/>
        <v>0</v>
      </c>
      <c r="AR19" s="579">
        <f t="shared" si="13"/>
        <v>0</v>
      </c>
      <c r="AS19" s="579">
        <f t="shared" si="14"/>
        <v>0</v>
      </c>
    </row>
    <row r="20" spans="1:46" ht="15.75" hidden="1">
      <c r="B20" s="24"/>
      <c r="C20" s="406" t="s">
        <v>196</v>
      </c>
      <c r="D20" s="25"/>
      <c r="E20" s="25"/>
      <c r="F20" s="25"/>
      <c r="G20" s="74">
        <v>14911.329844444446</v>
      </c>
      <c r="H20" s="20"/>
      <c r="J20" s="188">
        <f t="shared" si="5"/>
        <v>2.0206008351633482</v>
      </c>
      <c r="L20" s="75">
        <v>2.0038623519851684</v>
      </c>
      <c r="M20" s="75">
        <v>1.9213595551499263</v>
      </c>
      <c r="N20" s="143"/>
      <c r="Q20" s="140">
        <f>SUM(Q18:Q19)</f>
        <v>13884.087507822242</v>
      </c>
      <c r="R20" s="579">
        <f>Q20/$E$6</f>
        <v>1.8658161638720785</v>
      </c>
      <c r="S20" s="579">
        <f>Q20/($E$7/100)</f>
        <v>1.7889969892679196</v>
      </c>
      <c r="W20" s="140">
        <f>SUM(W18:W19)</f>
        <v>14964.159450327876</v>
      </c>
      <c r="X20" s="579">
        <f>W20/$E$6</f>
        <v>2.0109618702309846</v>
      </c>
      <c r="Y20" s="579">
        <f>W20/($E$7/100)</f>
        <v>1.9281667728238581</v>
      </c>
      <c r="AB20"/>
      <c r="AC20" s="140"/>
      <c r="AE20" s="579">
        <f>SUM(AE18:AE19)</f>
        <v>15025.793990525206</v>
      </c>
      <c r="AF20" s="579">
        <f t="shared" si="7"/>
        <v>2.0206008351633482</v>
      </c>
      <c r="AG20" s="579">
        <f t="shared" si="8"/>
        <v>1.8778838823619728</v>
      </c>
      <c r="AK20" s="140">
        <f>SUM(AK18:AK19)</f>
        <v>18183.830431112321</v>
      </c>
      <c r="AL20" s="579">
        <f t="shared" si="10"/>
        <v>2.4452792963049261</v>
      </c>
      <c r="AM20" s="579">
        <f t="shared" si="11"/>
        <v>2.2725669011382088</v>
      </c>
      <c r="AQ20" s="140">
        <f>SUM(AQ18:AQ19)</f>
        <v>0</v>
      </c>
      <c r="AR20" s="579">
        <f t="shared" si="13"/>
        <v>0</v>
      </c>
      <c r="AS20" s="579">
        <f t="shared" si="14"/>
        <v>0</v>
      </c>
    </row>
    <row r="21" spans="1:46" ht="15.75" hidden="1">
      <c r="B21" s="26"/>
      <c r="C21" s="27" t="s">
        <v>6</v>
      </c>
      <c r="D21" s="27"/>
      <c r="E21" s="76"/>
      <c r="F21" s="77"/>
      <c r="G21" s="78">
        <f>G16+G20</f>
        <v>46207.695698058837</v>
      </c>
      <c r="H21" s="79"/>
      <c r="J21" s="189">
        <f t="shared" ref="J21" si="19">IF($D$2=$L$2,L21,IF($D$2=$M$2,M21,IF($D$2=$N$2,N21,IF($D$2=$R$2,R21,IF($D$2=$S$2,S21,IF($D$2=$T$2,T21,IF($D$2=$X$2,X21,IF($D$2=$Y$2,Y21,IF($D$2=$Z$2,Z21,IF($D$2=$AF$2,AF21,IF($D$2=$AG$2,AG21,IF($D$2=$AH$2,AH21,IF($D$2=$AL$2,AL21,IF($D$2=$AM$2,AM21,IF($D$2=$AN$2,AN21,IF($D$2=$AR$2,AR21,IF($D$2=$AS$2,AS21,IF($D$2=$AT$2,AT21))))))))))))))))))</f>
        <v>6.3069043596682768</v>
      </c>
      <c r="L21" s="80">
        <f>L16+L20</f>
        <v>6.2096313841400992</v>
      </c>
      <c r="M21" s="80">
        <f>M16+M20</f>
        <v>5.9539691346847299</v>
      </c>
      <c r="N21" s="202">
        <f>G21/$N$9</f>
        <v>3.1456698118851267E-2</v>
      </c>
      <c r="P21" s="160"/>
      <c r="Q21" s="161">
        <f>Q16+Q20</f>
        <v>45180.453361436637</v>
      </c>
      <c r="R21" s="594">
        <f>Q21/$E$6</f>
        <v>6.0715851960270095</v>
      </c>
      <c r="S21" s="594">
        <f>Q21/($E$7/100)</f>
        <v>5.8216065688027232</v>
      </c>
      <c r="T21" s="415">
        <f>Q21/T$9</f>
        <v>2.8767576938886874E-2</v>
      </c>
      <c r="V21" s="160"/>
      <c r="W21" s="161">
        <f>W16+W20</f>
        <v>46356.992072399422</v>
      </c>
      <c r="X21" s="594">
        <f>W21/$E$6</f>
        <v>6.2296946103546569</v>
      </c>
      <c r="Y21" s="594">
        <f>W21/($E$7/100)</f>
        <v>5.9732063199915384</v>
      </c>
      <c r="Z21" s="415">
        <f>W21/Z$9</f>
        <v>2.9083667932455533E-2</v>
      </c>
      <c r="AB21"/>
      <c r="AC21" s="140"/>
      <c r="AD21" s="160"/>
      <c r="AE21" s="594">
        <f>AE16+AE20</f>
        <v>46900.032889801209</v>
      </c>
      <c r="AF21" s="594">
        <f>AE21/$AB$6</f>
        <v>6.3069043596682768</v>
      </c>
      <c r="AG21" s="594">
        <f>AE21/($AB$7/100)</f>
        <v>5.8614417249125106</v>
      </c>
      <c r="AH21" s="415">
        <f>AE21/AH$9</f>
        <v>2.7885065466042299E-2</v>
      </c>
      <c r="AJ21" s="160"/>
      <c r="AK21" s="161">
        <f>AK16+AK20</f>
        <v>51681.308222696229</v>
      </c>
      <c r="AL21" s="594">
        <f>AK21/$AB$6</f>
        <v>6.9498686474047879</v>
      </c>
      <c r="AM21" s="594">
        <f>AK21/($AB$7/100)</f>
        <v>6.4589928353856152</v>
      </c>
      <c r="AN21" s="415">
        <f>AK21/AN$9</f>
        <v>2.6557220388364989E-2</v>
      </c>
      <c r="AP21" s="160"/>
      <c r="AQ21" s="161">
        <f>AQ16+AQ20</f>
        <v>0</v>
      </c>
      <c r="AR21" s="594">
        <f>AQ21/$AB$6</f>
        <v>0</v>
      </c>
      <c r="AS21" s="594">
        <f>AQ21/($AB$7/100)</f>
        <v>0</v>
      </c>
      <c r="AT21" s="415">
        <f>AQ21/AT$9</f>
        <v>0</v>
      </c>
    </row>
    <row r="22" spans="1:46" ht="15.75" hidden="1">
      <c r="B22" s="28"/>
      <c r="C22" s="29"/>
      <c r="D22" s="29"/>
      <c r="E22" s="29"/>
      <c r="F22" s="29"/>
      <c r="G22" s="29"/>
      <c r="H22" s="20"/>
      <c r="J22" s="190"/>
      <c r="L22" s="29"/>
      <c r="M22" s="29"/>
      <c r="N22" s="145"/>
      <c r="AB22"/>
    </row>
    <row r="23" spans="1:46" ht="15.75" hidden="1">
      <c r="A23" s="21"/>
      <c r="B23" s="17">
        <v>2</v>
      </c>
      <c r="C23" s="18" t="s">
        <v>197</v>
      </c>
      <c r="D23" s="18" t="s">
        <v>65</v>
      </c>
      <c r="E23" s="18"/>
      <c r="F23" s="18" t="s">
        <v>66</v>
      </c>
      <c r="G23" s="68" t="s">
        <v>67</v>
      </c>
      <c r="H23" s="20"/>
      <c r="J23" s="186" t="s">
        <v>88</v>
      </c>
      <c r="L23" s="69" t="s">
        <v>213</v>
      </c>
      <c r="M23" s="69" t="s">
        <v>214</v>
      </c>
      <c r="N23" s="141" t="s">
        <v>85</v>
      </c>
      <c r="Q23" s="69" t="s">
        <v>67</v>
      </c>
      <c r="R23" s="69" t="s">
        <v>213</v>
      </c>
      <c r="S23" s="69" t="s">
        <v>214</v>
      </c>
      <c r="T23" s="141" t="s">
        <v>85</v>
      </c>
      <c r="W23" s="69" t="s">
        <v>67</v>
      </c>
      <c r="X23" s="69" t="s">
        <v>213</v>
      </c>
      <c r="Y23" s="69" t="s">
        <v>214</v>
      </c>
      <c r="Z23" s="141" t="s">
        <v>85</v>
      </c>
      <c r="AB23"/>
      <c r="AC23" s="140"/>
      <c r="AE23" s="69" t="s">
        <v>67</v>
      </c>
      <c r="AF23" s="69" t="s">
        <v>213</v>
      </c>
      <c r="AG23" s="69" t="s">
        <v>214</v>
      </c>
      <c r="AH23" s="141" t="s">
        <v>85</v>
      </c>
      <c r="AK23" s="69" t="s">
        <v>67</v>
      </c>
      <c r="AL23" s="69" t="s">
        <v>213</v>
      </c>
      <c r="AM23" s="69" t="s">
        <v>214</v>
      </c>
      <c r="AN23" s="141" t="s">
        <v>85</v>
      </c>
      <c r="AQ23" s="69" t="s">
        <v>67</v>
      </c>
      <c r="AR23" s="69" t="s">
        <v>213</v>
      </c>
      <c r="AS23" s="69" t="s">
        <v>214</v>
      </c>
      <c r="AT23" s="141" t="s">
        <v>85</v>
      </c>
    </row>
    <row r="24" spans="1:46" ht="15.75" hidden="1">
      <c r="B24" s="22"/>
      <c r="C24" s="30" t="s">
        <v>198</v>
      </c>
      <c r="D24" s="30">
        <v>190.05001774958703</v>
      </c>
      <c r="E24" s="81"/>
      <c r="F24" s="82">
        <v>321.86789032172186</v>
      </c>
      <c r="G24" s="72">
        <v>61170.998268665368</v>
      </c>
      <c r="H24" s="20"/>
      <c r="J24" s="187">
        <f t="shared" ref="J24:J36" si="20">IF($D$2=$L$2,L24,IF($D$2=$M$2,M24,IF($D$2=$N$2,N24,IF($D$2=$R$2,R24,IF($D$2=$S$2,S24,IF($D$2=$T$2,T24,IF($D$2=$X$2,X24,IF($D$2=$Y$2,Y24,IF($D$2=$Z$2,Z24,IF($D$2=$AF$2,AF24,IF($D$2=$AG$2,AG24,IF($D$2=$AH$2,AH24,IF($D$2=$AL$2,AL24,IF($D$2=$AM$2,AM24,IF($D$2=$AN$2,AN24,IF($D$2=$AR$2,AR24,IF($D$2=$AS$2,AS24,IF($D$2=$AT$2,AT24))))))))))))))))))</f>
        <v>9.4888308666777661</v>
      </c>
      <c r="L24" s="73">
        <v>8.220478102400623</v>
      </c>
      <c r="M24" s="73">
        <v>7.8820254965621865</v>
      </c>
      <c r="N24" s="142"/>
      <c r="P24" s="156">
        <v>1.0580000000000001</v>
      </c>
      <c r="Q24" s="140">
        <f>G24*P24</f>
        <v>64718.916168247961</v>
      </c>
      <c r="R24" s="579">
        <f t="shared" ref="R24:R37" si="21">Q24/$E$6</f>
        <v>8.6972658323398591</v>
      </c>
      <c r="S24" s="579">
        <f t="shared" ref="S24:S37" si="22">Q24/($E$7/100)</f>
        <v>8.3391829753627942</v>
      </c>
      <c r="V24" s="156">
        <f>68860.93/61171</f>
        <v>1.1257120204018243</v>
      </c>
      <c r="W24" s="140">
        <f t="shared" ref="W24:W36" si="23">G24*V24</f>
        <v>68860.928051015784</v>
      </c>
      <c r="X24" s="579">
        <f t="shared" ref="X24:X37" si="24">W24/$E$6</f>
        <v>9.2538910133223595</v>
      </c>
      <c r="Y24" s="579">
        <f t="shared" ref="Y24:Y37" si="25">W24/($E$7/100)</f>
        <v>8.8728908465937106</v>
      </c>
      <c r="AB24"/>
      <c r="AC24" s="140"/>
      <c r="AD24" s="156">
        <v>1.0246999999999999</v>
      </c>
      <c r="AE24" s="579">
        <f>W24*AD24</f>
        <v>70561.792973875868</v>
      </c>
      <c r="AF24" s="579">
        <f t="shared" ref="AF24:AF36" si="26">AE24/$AB$6</f>
        <v>9.4888308666777661</v>
      </c>
      <c r="AG24" s="579">
        <f t="shared" ref="AG24:AG36" si="27">AE24/($AB$7/100)</f>
        <v>8.8186257458180535</v>
      </c>
      <c r="AJ24" s="156">
        <v>1.2132000000000001</v>
      </c>
      <c r="AK24" s="140">
        <f>AE24*AJ24</f>
        <v>85605.567235906201</v>
      </c>
      <c r="AL24" s="579">
        <f t="shared" ref="AL24:AL36" si="28">AK24/$AB$6</f>
        <v>11.511849607453465</v>
      </c>
      <c r="AM24" s="579">
        <f t="shared" ref="AM24:AM36" si="29">AK24/($AB$7/100)</f>
        <v>10.698756754826464</v>
      </c>
      <c r="AP24" s="156"/>
      <c r="AQ24" s="140">
        <f>AK24*AP24</f>
        <v>0</v>
      </c>
      <c r="AR24" s="579">
        <f t="shared" ref="AR24:AR36" si="30">AQ24/$AB$6</f>
        <v>0</v>
      </c>
      <c r="AS24" s="579">
        <f t="shared" ref="AS24:AS36" si="31">AQ24/($AB$7/100)</f>
        <v>0</v>
      </c>
    </row>
    <row r="25" spans="1:46" ht="15.75" hidden="1">
      <c r="B25" s="24"/>
      <c r="C25" s="25" t="s">
        <v>199</v>
      </c>
      <c r="D25" s="25">
        <v>154.15594943040293</v>
      </c>
      <c r="E25" s="25"/>
      <c r="F25" s="25">
        <v>509.25996005933814</v>
      </c>
      <c r="G25" s="74">
        <v>78505.452649836341</v>
      </c>
      <c r="H25" s="20"/>
      <c r="J25" s="188">
        <f t="shared" si="20"/>
        <v>11.344496591046623</v>
      </c>
      <c r="L25" s="75">
        <v>10.549972580022583</v>
      </c>
      <c r="M25" s="75">
        <v>10.115610287859802</v>
      </c>
      <c r="N25" s="143"/>
      <c r="P25" s="156">
        <v>1.0469999999999999</v>
      </c>
      <c r="Q25" s="140">
        <f>G25*P25</f>
        <v>82195.208924378647</v>
      </c>
      <c r="R25" s="579">
        <f t="shared" si="21"/>
        <v>11.045821291283644</v>
      </c>
      <c r="S25" s="579">
        <f t="shared" si="22"/>
        <v>10.591043971389212</v>
      </c>
      <c r="V25" s="156">
        <v>1.0291999999999999</v>
      </c>
      <c r="W25" s="140">
        <f t="shared" si="23"/>
        <v>80797.811867211552</v>
      </c>
      <c r="X25" s="579">
        <f t="shared" si="24"/>
        <v>10.858031779359242</v>
      </c>
      <c r="Y25" s="579">
        <f t="shared" si="25"/>
        <v>10.410986108265307</v>
      </c>
      <c r="AB25"/>
      <c r="AC25" s="140"/>
      <c r="AD25" s="156">
        <f>84361.08/W25</f>
        <v>1.0441010474224792</v>
      </c>
      <c r="AE25" s="579">
        <f t="shared" ref="AE25:AE36" si="32">W25*AD25</f>
        <v>84361.08</v>
      </c>
      <c r="AF25" s="579">
        <f t="shared" si="26"/>
        <v>11.344496591046623</v>
      </c>
      <c r="AG25" s="579">
        <f t="shared" si="27"/>
        <v>10.543224040642635</v>
      </c>
      <c r="AJ25" s="156">
        <v>1.1558999999999999</v>
      </c>
      <c r="AK25" s="140">
        <f t="shared" ref="AK25:AK33" si="33">AE25*AJ25</f>
        <v>97512.972371999989</v>
      </c>
      <c r="AL25" s="579">
        <f t="shared" si="28"/>
        <v>13.113103609590789</v>
      </c>
      <c r="AM25" s="579">
        <f t="shared" si="29"/>
        <v>12.186912668578818</v>
      </c>
      <c r="AP25" s="156"/>
      <c r="AQ25" s="140">
        <f t="shared" ref="AQ25:AQ36" si="34">AK25*AP25</f>
        <v>0</v>
      </c>
      <c r="AR25" s="579">
        <f t="shared" si="30"/>
        <v>0</v>
      </c>
      <c r="AS25" s="579">
        <f t="shared" si="31"/>
        <v>0</v>
      </c>
    </row>
    <row r="26" spans="1:46" ht="15.75" hidden="1">
      <c r="B26" s="24"/>
      <c r="C26" s="25" t="s">
        <v>200</v>
      </c>
      <c r="D26" s="25">
        <v>1175.6381474632485</v>
      </c>
      <c r="E26" s="25"/>
      <c r="F26" s="25">
        <v>330.18379791151409</v>
      </c>
      <c r="G26" s="74">
        <v>388176.66849907208</v>
      </c>
      <c r="H26" s="20"/>
      <c r="J26" s="188">
        <f t="shared" si="20"/>
        <v>60.647426960476025</v>
      </c>
      <c r="L26" s="75">
        <v>52.165207264469721</v>
      </c>
      <c r="M26" s="75">
        <v>50.017467180154441</v>
      </c>
      <c r="N26" s="143"/>
      <c r="P26" s="156">
        <v>1.0620000000000001</v>
      </c>
      <c r="Q26" s="140">
        <f>G26*P26</f>
        <v>412243.62194601458</v>
      </c>
      <c r="R26" s="579">
        <f t="shared" si="21"/>
        <v>55.399450114866852</v>
      </c>
      <c r="S26" s="579">
        <f t="shared" si="22"/>
        <v>53.118550145324015</v>
      </c>
      <c r="V26" s="156">
        <f>435741.51/388176.67</f>
        <v>1.1225339997893229</v>
      </c>
      <c r="W26" s="140">
        <f t="shared" si="23"/>
        <v>435741.50831515744</v>
      </c>
      <c r="X26" s="579">
        <f t="shared" si="24"/>
        <v>58.557218760424242</v>
      </c>
      <c r="Y26" s="579">
        <f t="shared" si="25"/>
        <v>56.146307493069948</v>
      </c>
      <c r="AB26"/>
      <c r="AC26" s="140"/>
      <c r="AD26" s="156">
        <v>1.0349999999999999</v>
      </c>
      <c r="AE26" s="621">
        <f t="shared" si="32"/>
        <v>450992.4611061879</v>
      </c>
      <c r="AF26" s="579">
        <f t="shared" si="26"/>
        <v>60.647426960476025</v>
      </c>
      <c r="AG26" s="579">
        <f t="shared" si="27"/>
        <v>56.363841691966819</v>
      </c>
      <c r="AJ26" s="156">
        <v>1.2077</v>
      </c>
      <c r="AK26" s="620">
        <f t="shared" si="33"/>
        <v>544663.59527794307</v>
      </c>
      <c r="AL26" s="579">
        <f t="shared" si="28"/>
        <v>73.243897540166884</v>
      </c>
      <c r="AM26" s="579">
        <f t="shared" si="29"/>
        <v>68.070611611388316</v>
      </c>
      <c r="AP26" s="156"/>
      <c r="AQ26" s="140">
        <f t="shared" si="34"/>
        <v>0</v>
      </c>
      <c r="AR26" s="579">
        <f t="shared" si="30"/>
        <v>0</v>
      </c>
      <c r="AS26" s="579">
        <f t="shared" si="31"/>
        <v>0</v>
      </c>
    </row>
    <row r="27" spans="1:46" ht="15.75" hidden="1">
      <c r="B27" s="24"/>
      <c r="C27" s="25" t="s">
        <v>201</v>
      </c>
      <c r="D27" s="25">
        <v>691.72610131424562</v>
      </c>
      <c r="E27" s="25"/>
      <c r="F27" s="25">
        <v>216.43239854696358</v>
      </c>
      <c r="G27" s="74">
        <v>149711.93924498212</v>
      </c>
      <c r="H27" s="20"/>
      <c r="J27" s="188">
        <f t="shared" si="20"/>
        <v>22.874115394446807</v>
      </c>
      <c r="L27" s="75">
        <v>20.119071995948307</v>
      </c>
      <c r="M27" s="75">
        <v>19.290731811927714</v>
      </c>
      <c r="N27" s="143"/>
      <c r="P27" s="156">
        <f>207.52/201.14</f>
        <v>1.0317192005568263</v>
      </c>
      <c r="Q27" s="140">
        <f>G27*P27</f>
        <v>154460.68227164511</v>
      </c>
      <c r="R27" s="579">
        <f t="shared" si="21"/>
        <v>20.757232875605023</v>
      </c>
      <c r="S27" s="579">
        <f t="shared" si="22"/>
        <v>19.902618403158201</v>
      </c>
      <c r="V27" s="156">
        <f>236.65/201.14</f>
        <v>1.1765437009048425</v>
      </c>
      <c r="W27" s="140">
        <f t="shared" si="23"/>
        <v>176142.63906893219</v>
      </c>
      <c r="X27" s="579">
        <f t="shared" si="24"/>
        <v>23.670967424883997</v>
      </c>
      <c r="Y27" s="579">
        <f t="shared" si="25"/>
        <v>22.69638899916821</v>
      </c>
      <c r="AB27"/>
      <c r="AC27" s="140"/>
      <c r="AD27" s="156">
        <f>228.53/236.65</f>
        <v>0.96568772448763995</v>
      </c>
      <c r="AE27" s="579">
        <f t="shared" si="32"/>
        <v>170098.7843077248</v>
      </c>
      <c r="AF27" s="579">
        <f t="shared" si="26"/>
        <v>22.874115394446807</v>
      </c>
      <c r="AG27" s="579">
        <f t="shared" si="27"/>
        <v>21.258494936258405</v>
      </c>
      <c r="AJ27" s="156">
        <f>329.56/228.53</f>
        <v>1.4420863781560407</v>
      </c>
      <c r="AK27" s="140">
        <f t="shared" si="33"/>
        <v>245297.13979107243</v>
      </c>
      <c r="AL27" s="579">
        <f t="shared" si="28"/>
        <v>32.98645022270113</v>
      </c>
      <c r="AM27" s="579">
        <f t="shared" si="29"/>
        <v>30.656585967677412</v>
      </c>
      <c r="AP27" s="156"/>
      <c r="AQ27" s="140">
        <f t="shared" si="34"/>
        <v>0</v>
      </c>
      <c r="AR27" s="579">
        <f t="shared" si="30"/>
        <v>0</v>
      </c>
      <c r="AS27" s="579">
        <f t="shared" si="31"/>
        <v>0</v>
      </c>
    </row>
    <row r="28" spans="1:46" ht="15.75" hidden="1">
      <c r="B28" s="24"/>
      <c r="C28" s="25" t="s">
        <v>202</v>
      </c>
      <c r="D28" s="25">
        <v>11.079756185177546</v>
      </c>
      <c r="E28" s="25"/>
      <c r="F28" s="25">
        <v>206.56807409386775</v>
      </c>
      <c r="G28" s="74">
        <v>2288.7238966017449</v>
      </c>
      <c r="H28" s="20"/>
      <c r="J28" s="188">
        <f t="shared" si="20"/>
        <v>0.38146625719029087</v>
      </c>
      <c r="L28" s="75">
        <v>0.30757066595222271</v>
      </c>
      <c r="M28" s="75">
        <v>0.29490740086298262</v>
      </c>
      <c r="N28" s="143"/>
      <c r="P28" s="156">
        <f>235.76/210.13</f>
        <v>1.1219721125017845</v>
      </c>
      <c r="Q28" s="140">
        <f t="shared" ref="Q28:Q36" si="35">G28*P28</f>
        <v>2567.8843852035757</v>
      </c>
      <c r="R28" s="579">
        <f t="shared" si="21"/>
        <v>0.34508570982199605</v>
      </c>
      <c r="S28" s="579">
        <f t="shared" si="22"/>
        <v>0.33087787953865117</v>
      </c>
      <c r="V28" s="156">
        <f>261.75/210.13</f>
        <v>1.2456574501499071</v>
      </c>
      <c r="W28" s="140">
        <f t="shared" si="23"/>
        <v>2850.9659731380893</v>
      </c>
      <c r="X28" s="579">
        <f t="shared" si="24"/>
        <v>0.3831276914909546</v>
      </c>
      <c r="Y28" s="579">
        <f t="shared" si="25"/>
        <v>0.36735360098931941</v>
      </c>
      <c r="AB28"/>
      <c r="AC28" s="140"/>
      <c r="AD28" s="156">
        <f>260.44/261.75</f>
        <v>0.99499522445081179</v>
      </c>
      <c r="AE28" s="579">
        <f t="shared" si="32"/>
        <v>2836.6975283441602</v>
      </c>
      <c r="AF28" s="579">
        <f t="shared" si="26"/>
        <v>0.38146625719029087</v>
      </c>
      <c r="AG28" s="579">
        <f t="shared" si="27"/>
        <v>0.3545229337612758</v>
      </c>
      <c r="AJ28" s="156">
        <f>342.46/260.44</f>
        <v>1.3149285823990169</v>
      </c>
      <c r="AK28" s="140">
        <f t="shared" si="33"/>
        <v>3730.0546596403815</v>
      </c>
      <c r="AL28" s="579">
        <f t="shared" si="28"/>
        <v>0.50160088480028797</v>
      </c>
      <c r="AM28" s="579">
        <f t="shared" si="29"/>
        <v>0.46617233871865493</v>
      </c>
      <c r="AP28" s="156"/>
      <c r="AQ28" s="140">
        <f t="shared" si="34"/>
        <v>0</v>
      </c>
      <c r="AR28" s="579">
        <f t="shared" si="30"/>
        <v>0</v>
      </c>
      <c r="AS28" s="579">
        <f t="shared" si="31"/>
        <v>0</v>
      </c>
    </row>
    <row r="29" spans="1:46" ht="15.75" hidden="1">
      <c r="B29" s="24"/>
      <c r="C29" s="25" t="s">
        <v>203</v>
      </c>
      <c r="D29" s="25">
        <v>212.78087726987806</v>
      </c>
      <c r="E29" s="25"/>
      <c r="F29" s="25">
        <v>487.98979640096206</v>
      </c>
      <c r="G29" s="74">
        <v>103834.89697694589</v>
      </c>
      <c r="H29" s="20"/>
      <c r="J29" s="188">
        <f t="shared" si="20"/>
        <v>14.909156009363086</v>
      </c>
      <c r="L29" s="75">
        <v>13.953875545974993</v>
      </c>
      <c r="M29" s="75">
        <v>13.379368141265616</v>
      </c>
      <c r="N29" s="143"/>
      <c r="P29" s="156">
        <f>492.26/484.48</f>
        <v>1.0160584544253632</v>
      </c>
      <c r="Q29" s="140">
        <f t="shared" si="35"/>
        <v>105502.32493781246</v>
      </c>
      <c r="R29" s="579">
        <f t="shared" si="21"/>
        <v>14.177953220487222</v>
      </c>
      <c r="S29" s="579">
        <f t="shared" si="22"/>
        <v>13.594220114802285</v>
      </c>
      <c r="V29" s="156">
        <f>482.2/484.48</f>
        <v>0.99529392338177003</v>
      </c>
      <c r="W29" s="140">
        <f t="shared" si="23"/>
        <v>103346.24199612637</v>
      </c>
      <c r="X29" s="579">
        <f t="shared" si="24"/>
        <v>13.888207538534388</v>
      </c>
      <c r="Y29" s="579">
        <f t="shared" si="25"/>
        <v>13.316403809689312</v>
      </c>
      <c r="AB29"/>
      <c r="AC29" s="140"/>
      <c r="AD29" s="156">
        <f>517.3/482.2</f>
        <v>1.0727913728743259</v>
      </c>
      <c r="AE29" s="579">
        <f t="shared" si="32"/>
        <v>110868.95683242672</v>
      </c>
      <c r="AF29" s="579">
        <f t="shared" si="26"/>
        <v>14.909156009363086</v>
      </c>
      <c r="AG29" s="579">
        <f t="shared" si="27"/>
        <v>13.85610818444491</v>
      </c>
      <c r="AJ29" s="156">
        <f>585.01/517.3</f>
        <v>1.1308911656678911</v>
      </c>
      <c r="AK29" s="140">
        <f t="shared" si="33"/>
        <v>125380.72382860615</v>
      </c>
      <c r="AL29" s="579">
        <f t="shared" si="28"/>
        <v>16.860632818553064</v>
      </c>
      <c r="AM29" s="579">
        <f t="shared" si="29"/>
        <v>15.66975033632731</v>
      </c>
      <c r="AP29" s="156"/>
      <c r="AQ29" s="140">
        <f t="shared" si="34"/>
        <v>0</v>
      </c>
      <c r="AR29" s="579">
        <f t="shared" si="30"/>
        <v>0</v>
      </c>
      <c r="AS29" s="579">
        <f t="shared" si="31"/>
        <v>0</v>
      </c>
    </row>
    <row r="30" spans="1:46" ht="15.75" hidden="1">
      <c r="B30" s="24"/>
      <c r="C30" s="25" t="s">
        <v>204</v>
      </c>
      <c r="D30" s="25">
        <v>32.106179590670784</v>
      </c>
      <c r="E30" s="25"/>
      <c r="F30" s="25">
        <v>1430.547878457307</v>
      </c>
      <c r="G30" s="74">
        <v>45929.427098803382</v>
      </c>
      <c r="H30" s="20"/>
      <c r="J30" s="188">
        <f t="shared" si="20"/>
        <v>9.8403870204268262</v>
      </c>
      <c r="L30" s="75">
        <v>6.1722361970169723</v>
      </c>
      <c r="M30" s="75">
        <v>5.9181135780271283</v>
      </c>
      <c r="N30" s="143"/>
      <c r="P30" s="156">
        <v>1.0322</v>
      </c>
      <c r="Q30" s="140">
        <f t="shared" si="35"/>
        <v>47408.354651384849</v>
      </c>
      <c r="R30" s="579">
        <f t="shared" si="21"/>
        <v>6.3709822025609189</v>
      </c>
      <c r="S30" s="579">
        <f t="shared" si="22"/>
        <v>6.1086768352396019</v>
      </c>
      <c r="V30" s="156">
        <v>1.0771999999999999</v>
      </c>
      <c r="W30" s="140">
        <f t="shared" si="23"/>
        <v>49475.178870830998</v>
      </c>
      <c r="X30" s="579">
        <f t="shared" si="24"/>
        <v>6.648732831426682</v>
      </c>
      <c r="Y30" s="579">
        <f t="shared" si="25"/>
        <v>6.3749919462508222</v>
      </c>
      <c r="AB30"/>
      <c r="AC30" s="140"/>
      <c r="AE30" s="579">
        <v>73176.070000000007</v>
      </c>
      <c r="AF30" s="579">
        <f t="shared" si="26"/>
        <v>9.8403870204268262</v>
      </c>
      <c r="AG30" s="579">
        <f t="shared" si="27"/>
        <v>9.145351155103139</v>
      </c>
      <c r="AJ30" s="156">
        <v>1.0629999999999999</v>
      </c>
      <c r="AK30" s="140">
        <f t="shared" si="33"/>
        <v>77786.162410000004</v>
      </c>
      <c r="AL30" s="579">
        <f t="shared" si="28"/>
        <v>10.460331402713715</v>
      </c>
      <c r="AM30" s="579">
        <f t="shared" si="29"/>
        <v>9.7215082778746353</v>
      </c>
      <c r="AP30" s="156"/>
      <c r="AQ30" s="140">
        <f t="shared" si="34"/>
        <v>0</v>
      </c>
      <c r="AR30" s="579">
        <f t="shared" si="30"/>
        <v>0</v>
      </c>
      <c r="AS30" s="579">
        <f t="shared" si="31"/>
        <v>0</v>
      </c>
    </row>
    <row r="31" spans="1:46" ht="15.75" hidden="1">
      <c r="B31" s="24"/>
      <c r="C31" s="25" t="s">
        <v>205</v>
      </c>
      <c r="D31" s="25">
        <v>12.556675604919711</v>
      </c>
      <c r="E31" s="25"/>
      <c r="F31" s="25">
        <v>474.81417653930293</v>
      </c>
      <c r="G31" s="74">
        <v>5962.087587421106</v>
      </c>
      <c r="H31" s="20"/>
      <c r="J31" s="188">
        <f t="shared" si="20"/>
        <v>0.87705196869974766</v>
      </c>
      <c r="L31" s="75">
        <v>0.80121645623193272</v>
      </c>
      <c r="M31" s="75">
        <v>0.7682288618275217</v>
      </c>
      <c r="N31" s="143"/>
      <c r="P31" s="156">
        <v>1.0947</v>
      </c>
      <c r="Q31" s="140">
        <f t="shared" si="35"/>
        <v>6526.6972819498851</v>
      </c>
      <c r="R31" s="579">
        <f t="shared" si="21"/>
        <v>0.87709165463709682</v>
      </c>
      <c r="S31" s="579">
        <f t="shared" si="22"/>
        <v>0.84098013504258806</v>
      </c>
      <c r="V31" s="156">
        <f>6128.57/5962.09</f>
        <v>1.0279230940827797</v>
      </c>
      <c r="W31" s="140">
        <f t="shared" si="23"/>
        <v>6128.5675200544383</v>
      </c>
      <c r="X31" s="579">
        <f t="shared" si="24"/>
        <v>0.82358889871996832</v>
      </c>
      <c r="Y31" s="579">
        <f t="shared" si="25"/>
        <v>0.78968018861343825</v>
      </c>
      <c r="AB31"/>
      <c r="AC31" s="140"/>
      <c r="AD31" s="156">
        <v>1.0642</v>
      </c>
      <c r="AE31" s="579">
        <f t="shared" si="32"/>
        <v>6522.0215548419337</v>
      </c>
      <c r="AF31" s="579">
        <f t="shared" si="26"/>
        <v>0.87705196869974766</v>
      </c>
      <c r="AG31" s="579">
        <f t="shared" si="27"/>
        <v>0.81510495658186122</v>
      </c>
      <c r="AJ31" s="156">
        <v>1.1838</v>
      </c>
      <c r="AK31" s="140">
        <f t="shared" si="33"/>
        <v>7720.769116621881</v>
      </c>
      <c r="AL31" s="579">
        <f t="shared" si="28"/>
        <v>1.0382541205467612</v>
      </c>
      <c r="AM31" s="579">
        <f t="shared" si="29"/>
        <v>0.96492124760160736</v>
      </c>
      <c r="AP31" s="156"/>
      <c r="AQ31" s="140">
        <f t="shared" si="34"/>
        <v>0</v>
      </c>
      <c r="AR31" s="579">
        <f t="shared" si="30"/>
        <v>0</v>
      </c>
      <c r="AS31" s="579">
        <f t="shared" si="31"/>
        <v>0</v>
      </c>
    </row>
    <row r="32" spans="1:46" ht="15.75" hidden="1">
      <c r="B32" s="24"/>
      <c r="C32" s="25" t="s">
        <v>206</v>
      </c>
      <c r="D32" s="25">
        <v>17.300538055647124</v>
      </c>
      <c r="E32" s="25"/>
      <c r="F32" s="25">
        <v>934.57653501048469</v>
      </c>
      <c r="G32" s="74">
        <v>16168.676909863718</v>
      </c>
      <c r="H32" s="20"/>
      <c r="J32" s="188">
        <f t="shared" si="20"/>
        <v>0</v>
      </c>
      <c r="L32" s="75">
        <v>2.1728312148603619</v>
      </c>
      <c r="M32" s="75">
        <v>2.0833716508841711</v>
      </c>
      <c r="N32" s="143"/>
      <c r="P32" s="156">
        <v>1.0658000000000001</v>
      </c>
      <c r="Q32" s="140">
        <f>G32*P32</f>
        <v>17232.57585053275</v>
      </c>
      <c r="R32" s="579">
        <f t="shared" si="21"/>
        <v>2.3158035087981736</v>
      </c>
      <c r="S32" s="579">
        <f t="shared" si="22"/>
        <v>2.2204575055123494</v>
      </c>
      <c r="V32" s="157">
        <f>V30</f>
        <v>1.0771999999999999</v>
      </c>
      <c r="W32" s="140">
        <f t="shared" si="23"/>
        <v>17416.898767305196</v>
      </c>
      <c r="X32" s="579">
        <f t="shared" si="24"/>
        <v>2.3405737846475816</v>
      </c>
      <c r="Y32" s="579">
        <f t="shared" si="25"/>
        <v>2.2442079423324288</v>
      </c>
      <c r="AB32"/>
      <c r="AC32" s="140"/>
      <c r="AE32" s="579"/>
      <c r="AF32" s="579">
        <f t="shared" si="26"/>
        <v>0</v>
      </c>
      <c r="AG32" s="579">
        <f t="shared" si="27"/>
        <v>0</v>
      </c>
      <c r="AJ32" s="156"/>
      <c r="AK32" s="140">
        <f t="shared" si="33"/>
        <v>0</v>
      </c>
      <c r="AL32" s="579">
        <f t="shared" si="28"/>
        <v>0</v>
      </c>
      <c r="AM32" s="579">
        <f t="shared" si="29"/>
        <v>0</v>
      </c>
      <c r="AP32" s="156"/>
      <c r="AQ32" s="140">
        <f t="shared" si="34"/>
        <v>0</v>
      </c>
      <c r="AR32" s="579">
        <f t="shared" si="30"/>
        <v>0</v>
      </c>
      <c r="AS32" s="579">
        <f t="shared" si="31"/>
        <v>0</v>
      </c>
    </row>
    <row r="33" spans="1:46" ht="15.75" hidden="1">
      <c r="B33" s="24"/>
      <c r="C33" s="25" t="s">
        <v>207</v>
      </c>
      <c r="D33" s="25">
        <v>0.80590992265594419</v>
      </c>
      <c r="E33" s="25"/>
      <c r="F33" s="25">
        <v>5699.059950792277</v>
      </c>
      <c r="G33" s="74">
        <v>4592.9289641545929</v>
      </c>
      <c r="H33" s="20"/>
      <c r="J33" s="188">
        <f t="shared" si="20"/>
        <v>0</v>
      </c>
      <c r="L33" s="75">
        <v>0.61722177247930943</v>
      </c>
      <c r="M33" s="75">
        <v>0.59180958663395877</v>
      </c>
      <c r="N33" s="143"/>
      <c r="P33" s="156">
        <v>0.98970000000000002</v>
      </c>
      <c r="Q33" s="140">
        <f t="shared" si="35"/>
        <v>4545.6217958238003</v>
      </c>
      <c r="R33" s="579">
        <f t="shared" si="21"/>
        <v>0.61086438822277245</v>
      </c>
      <c r="S33" s="579">
        <f t="shared" si="22"/>
        <v>0.58571394789162889</v>
      </c>
      <c r="V33" s="157">
        <f>V30</f>
        <v>1.0771999999999999</v>
      </c>
      <c r="W33" s="140">
        <f t="shared" si="23"/>
        <v>4947.5030801873272</v>
      </c>
      <c r="X33" s="579">
        <f t="shared" si="24"/>
        <v>0.66487129331471206</v>
      </c>
      <c r="Y33" s="579">
        <f t="shared" si="25"/>
        <v>0.63749728672210026</v>
      </c>
      <c r="AB33"/>
      <c r="AC33" s="140"/>
      <c r="AE33" s="579"/>
      <c r="AF33" s="579">
        <f t="shared" si="26"/>
        <v>0</v>
      </c>
      <c r="AG33" s="579">
        <f t="shared" si="27"/>
        <v>0</v>
      </c>
      <c r="AJ33" s="156"/>
      <c r="AK33" s="140">
        <f t="shared" si="33"/>
        <v>0</v>
      </c>
      <c r="AL33" s="579">
        <f t="shared" si="28"/>
        <v>0</v>
      </c>
      <c r="AM33" s="579">
        <f t="shared" si="29"/>
        <v>0</v>
      </c>
      <c r="AP33" s="156"/>
      <c r="AQ33" s="140">
        <f t="shared" si="34"/>
        <v>0</v>
      </c>
      <c r="AR33" s="579">
        <f t="shared" si="30"/>
        <v>0</v>
      </c>
      <c r="AS33" s="579">
        <f t="shared" si="31"/>
        <v>0</v>
      </c>
    </row>
    <row r="34" spans="1:46" ht="15.75" hidden="1">
      <c r="B34" s="24"/>
      <c r="C34" s="25" t="s">
        <v>208</v>
      </c>
      <c r="D34" s="25">
        <v>136.75282221489383</v>
      </c>
      <c r="E34" s="25"/>
      <c r="F34" s="25">
        <v>264.35133256466219</v>
      </c>
      <c r="G34" s="74">
        <v>36150.790784485522</v>
      </c>
      <c r="H34" s="20"/>
      <c r="J34" s="188">
        <f t="shared" si="20"/>
        <v>5.8180063928101813</v>
      </c>
      <c r="L34" s="75">
        <v>4.8581319978320057</v>
      </c>
      <c r="M34" s="75">
        <v>4.6581135300870269</v>
      </c>
      <c r="N34" s="143"/>
      <c r="P34" s="156">
        <f>134.2/129.1</f>
        <v>1.0395042602633617</v>
      </c>
      <c r="Q34" s="140">
        <f t="shared" si="35"/>
        <v>37578.901032362177</v>
      </c>
      <c r="R34" s="579">
        <f t="shared" si="21"/>
        <v>5.0500489086681268</v>
      </c>
      <c r="S34" s="579">
        <f t="shared" si="22"/>
        <v>4.8421288593158716</v>
      </c>
      <c r="V34" s="156">
        <f>(28034.3+12726.02+1612.86)/(23996.2+10632.51+1522.08)</f>
        <v>1.1721232094789629</v>
      </c>
      <c r="W34" s="140">
        <f t="shared" si="23"/>
        <v>42373.180919513681</v>
      </c>
      <c r="X34" s="579">
        <f t="shared" si="24"/>
        <v>5.6943292693712966</v>
      </c>
      <c r="Y34" s="579">
        <f t="shared" si="25"/>
        <v>5.4598829810029867</v>
      </c>
      <c r="AB34"/>
      <c r="AC34" s="140"/>
      <c r="AD34" s="156">
        <f>(29450.03+12205.2+1609.21)/(28034.3+12726.02+1612.86)</f>
        <v>1.0210335877552734</v>
      </c>
      <c r="AE34" s="579">
        <f t="shared" si="32"/>
        <v>43264.44093885435</v>
      </c>
      <c r="AF34" s="579">
        <f t="shared" si="26"/>
        <v>5.8180063928101813</v>
      </c>
      <c r="AG34" s="579">
        <f t="shared" si="27"/>
        <v>5.4070750849976381</v>
      </c>
      <c r="AJ34" s="156">
        <v>1.338422964</v>
      </c>
      <c r="AK34" s="140">
        <f>38305.65+17854.38+1746.09</f>
        <v>57906.119999999995</v>
      </c>
      <c r="AL34" s="579">
        <f t="shared" si="28"/>
        <v>7.7869531890859696</v>
      </c>
      <c r="AM34" s="579">
        <f t="shared" si="29"/>
        <v>7.2369533022139736</v>
      </c>
      <c r="AP34" s="156"/>
      <c r="AQ34" s="140">
        <f t="shared" si="34"/>
        <v>0</v>
      </c>
      <c r="AR34" s="579">
        <f t="shared" si="30"/>
        <v>0</v>
      </c>
      <c r="AS34" s="579">
        <f t="shared" si="31"/>
        <v>0</v>
      </c>
    </row>
    <row r="35" spans="1:46" ht="15.75" hidden="1">
      <c r="B35" s="24"/>
      <c r="C35" s="25"/>
      <c r="D35" s="25"/>
      <c r="E35" s="25"/>
      <c r="F35" s="25"/>
      <c r="G35" s="74"/>
      <c r="H35" s="20"/>
      <c r="J35" s="188"/>
      <c r="L35" s="75"/>
      <c r="M35" s="75"/>
      <c r="N35" s="143"/>
      <c r="P35" s="156"/>
      <c r="Q35" s="140"/>
      <c r="R35" s="579"/>
      <c r="S35" s="579"/>
      <c r="V35" s="156"/>
      <c r="W35" s="140"/>
      <c r="X35" s="579"/>
      <c r="Y35" s="579"/>
      <c r="AB35" s="156" t="s">
        <v>376</v>
      </c>
      <c r="AC35" s="140"/>
      <c r="AE35" s="614">
        <v>38549.72</v>
      </c>
      <c r="AF35" s="579">
        <f t="shared" si="26"/>
        <v>5.1839920390516792</v>
      </c>
      <c r="AG35" s="579">
        <f t="shared" si="27"/>
        <v>4.81784176617988</v>
      </c>
      <c r="AJ35" s="156">
        <f>AJ26</f>
        <v>1.2077</v>
      </c>
      <c r="AK35" s="620">
        <f t="shared" ref="AK35:AK36" si="36">AE35*AJ35</f>
        <v>46556.496844000001</v>
      </c>
      <c r="AL35" s="579">
        <f t="shared" si="28"/>
        <v>6.2607071855627128</v>
      </c>
      <c r="AM35" s="579">
        <f t="shared" si="29"/>
        <v>5.818507501015441</v>
      </c>
      <c r="AP35" s="156"/>
      <c r="AQ35" s="140">
        <f t="shared" ref="AQ35" si="37">AK35*AP35</f>
        <v>0</v>
      </c>
      <c r="AR35" s="579">
        <f t="shared" si="30"/>
        <v>0</v>
      </c>
      <c r="AS35" s="579">
        <f t="shared" si="31"/>
        <v>0</v>
      </c>
    </row>
    <row r="36" spans="1:46" ht="15.75" hidden="1">
      <c r="B36" s="24"/>
      <c r="C36" s="25" t="s">
        <v>209</v>
      </c>
      <c r="D36" s="25"/>
      <c r="E36" s="25"/>
      <c r="F36" s="25"/>
      <c r="G36" s="74">
        <v>554.88547777777774</v>
      </c>
      <c r="H36" s="20"/>
      <c r="J36" s="188">
        <f t="shared" si="20"/>
        <v>8.4976577430408692E-2</v>
      </c>
      <c r="L36" s="75">
        <v>7.4568407391005467E-2</v>
      </c>
      <c r="M36" s="75">
        <v>7.1498285254515903E-2</v>
      </c>
      <c r="N36" s="143"/>
      <c r="P36" s="156">
        <v>1.0732999999999999</v>
      </c>
      <c r="Q36" s="140">
        <f t="shared" si="35"/>
        <v>595.55858329888883</v>
      </c>
      <c r="R36" s="579">
        <f t="shared" si="21"/>
        <v>8.0034271652766165E-2</v>
      </c>
      <c r="S36" s="579">
        <f t="shared" si="22"/>
        <v>7.6739109563671914E-2</v>
      </c>
      <c r="V36" s="156">
        <v>1.1154999999999999</v>
      </c>
      <c r="W36" s="140">
        <f t="shared" si="23"/>
        <v>618.97475046111106</v>
      </c>
      <c r="X36" s="579">
        <f t="shared" si="24"/>
        <v>8.3181058444666597E-2</v>
      </c>
      <c r="Y36" s="579">
        <f t="shared" si="25"/>
        <v>7.9756337201412494E-2</v>
      </c>
      <c r="AB36" s="140"/>
      <c r="AC36" s="140"/>
      <c r="AD36" s="156">
        <v>1.0208999999999999</v>
      </c>
      <c r="AE36" s="579">
        <f t="shared" si="32"/>
        <v>631.91132274574818</v>
      </c>
      <c r="AF36" s="579">
        <f t="shared" si="26"/>
        <v>8.4976577430408692E-2</v>
      </c>
      <c r="AG36" s="579">
        <f t="shared" si="27"/>
        <v>7.8974601196751607E-2</v>
      </c>
      <c r="AJ36" s="156">
        <v>1.0078</v>
      </c>
      <c r="AK36" s="620">
        <f t="shared" si="36"/>
        <v>636.84023106316499</v>
      </c>
      <c r="AL36" s="579">
        <f t="shared" si="28"/>
        <v>8.5639394734365881E-2</v>
      </c>
      <c r="AM36" s="579">
        <f t="shared" si="29"/>
        <v>7.9590603086086273E-2</v>
      </c>
      <c r="AP36" s="156"/>
      <c r="AQ36" s="140">
        <f t="shared" si="34"/>
        <v>0</v>
      </c>
      <c r="AR36" s="579">
        <f t="shared" si="30"/>
        <v>0</v>
      </c>
      <c r="AS36" s="579">
        <f t="shared" si="31"/>
        <v>0</v>
      </c>
    </row>
    <row r="37" spans="1:46" ht="15.75" hidden="1">
      <c r="B37" s="26"/>
      <c r="C37" s="27" t="s">
        <v>6</v>
      </c>
      <c r="D37" s="27"/>
      <c r="E37" s="84"/>
      <c r="F37" s="85"/>
      <c r="G37" s="78">
        <v>893047.47635860951</v>
      </c>
      <c r="H37" s="86"/>
      <c r="J37" s="189">
        <f>IF($D$2=$L$2,L37,IF($D$2=$M$2,M37,IF($D$2=$N$2,N37,IF($D$2=$R$2,R37,IF($D$2=$S$2,S37,IF($D$2=$T$2,T37,IF($D$2=$X$2,X37,IF($D$2=$Y$2,Y37,IF($D$2=$Z$2,Z37,IF($D$2=$AF$2,AF37,IF($D$2=$AG$2,AG37,IF($D$2=$AH$2,AH37,IF($D$2=$AL$2,AL37,IF($D$2=$AM$2,AM37,IF($D$2=$AN$2,AN37,IF($D$2=$AR$2,AR37,IF($D$2=$AS$2,AS37,IF($D$2=$AT$2,AT37))))))))))))))))))</f>
        <v>141.4499060776194</v>
      </c>
      <c r="L37" s="80">
        <v>120.01238220058003</v>
      </c>
      <c r="M37" s="80">
        <v>115.07124581134707</v>
      </c>
      <c r="N37" s="202">
        <f>G37/$N$9</f>
        <v>0.60795771018711253</v>
      </c>
      <c r="P37" s="160"/>
      <c r="Q37" s="161">
        <f>SUM(Q24:Q36)</f>
        <v>935576.34782865481</v>
      </c>
      <c r="R37" s="594">
        <f t="shared" si="21"/>
        <v>125.72763397894447</v>
      </c>
      <c r="S37" s="594">
        <f t="shared" si="22"/>
        <v>120.55118988214089</v>
      </c>
      <c r="T37" s="415">
        <f>Q37/T$9</f>
        <v>0.59570594285660794</v>
      </c>
      <c r="V37" s="160"/>
      <c r="W37" s="161">
        <f>SUM(W24:W36)</f>
        <v>988700.39917993417</v>
      </c>
      <c r="X37" s="594">
        <f t="shared" si="24"/>
        <v>132.8667213439401</v>
      </c>
      <c r="Y37" s="594">
        <f t="shared" si="25"/>
        <v>127.396347539899</v>
      </c>
      <c r="Z37" s="415">
        <f>W37/Z$9</f>
        <v>0.62029551118257198</v>
      </c>
      <c r="AB37" s="140"/>
      <c r="AC37" s="140"/>
      <c r="AD37" s="160"/>
      <c r="AE37" s="594">
        <f>SUM(AE24:AE36)</f>
        <v>1051863.9365650013</v>
      </c>
      <c r="AF37" s="594">
        <f>AE37/$AB$6</f>
        <v>141.4499060776194</v>
      </c>
      <c r="AG37" s="594">
        <f>AE37/($AB$7/100)</f>
        <v>131.45916509695135</v>
      </c>
      <c r="AH37" s="415">
        <f>AE37/AH$9</f>
        <v>0.6254003019870451</v>
      </c>
      <c r="AJ37" s="160"/>
      <c r="AK37" s="161">
        <f>SUM(AK24:AK36)</f>
        <v>1292796.4417668534</v>
      </c>
      <c r="AL37" s="594">
        <f>AK37/$AB$6</f>
        <v>173.84941997590917</v>
      </c>
      <c r="AM37" s="594">
        <f>AK37/($AB$7/100)</f>
        <v>161.57027060930875</v>
      </c>
      <c r="AN37" s="415">
        <f>AK37/AN$9</f>
        <v>0.66432296708423422</v>
      </c>
      <c r="AP37" s="160"/>
      <c r="AQ37" s="161">
        <f>SUM(AQ24:AQ36)</f>
        <v>0</v>
      </c>
      <c r="AR37" s="594">
        <f>AQ37/$AB$6</f>
        <v>0</v>
      </c>
      <c r="AS37" s="594">
        <f>AQ37/($AB$7/100)</f>
        <v>0</v>
      </c>
      <c r="AT37" s="415">
        <f>AQ37/AT$9</f>
        <v>0</v>
      </c>
    </row>
    <row r="38" spans="1:46" ht="15.75" hidden="1">
      <c r="B38" s="28"/>
      <c r="C38" s="29"/>
      <c r="D38" s="29"/>
      <c r="E38" s="29"/>
      <c r="F38" s="29"/>
      <c r="G38" s="29"/>
      <c r="H38" s="20"/>
      <c r="J38" s="190"/>
      <c r="L38" s="29"/>
      <c r="M38" s="29"/>
      <c r="N38" s="145"/>
      <c r="AB38" s="140"/>
    </row>
    <row r="39" spans="1:46" ht="15.75" hidden="1">
      <c r="A39" s="21"/>
      <c r="B39" s="17">
        <v>3</v>
      </c>
      <c r="C39" s="18" t="s">
        <v>210</v>
      </c>
      <c r="D39" s="18"/>
      <c r="E39" s="18"/>
      <c r="F39" s="18"/>
      <c r="G39" s="68" t="s">
        <v>67</v>
      </c>
      <c r="H39" s="20"/>
      <c r="J39" s="186" t="s">
        <v>88</v>
      </c>
      <c r="L39" s="69" t="s">
        <v>213</v>
      </c>
      <c r="M39" s="69" t="s">
        <v>214</v>
      </c>
      <c r="N39" s="141" t="s">
        <v>85</v>
      </c>
      <c r="Q39" s="69" t="s">
        <v>67</v>
      </c>
      <c r="R39" s="69" t="s">
        <v>213</v>
      </c>
      <c r="S39" s="69" t="s">
        <v>214</v>
      </c>
      <c r="T39" s="141" t="s">
        <v>85</v>
      </c>
      <c r="W39" s="69" t="s">
        <v>67</v>
      </c>
      <c r="X39" s="69" t="s">
        <v>213</v>
      </c>
      <c r="Y39" s="69" t="s">
        <v>214</v>
      </c>
      <c r="Z39" s="141" t="s">
        <v>85</v>
      </c>
      <c r="AB39" s="140"/>
      <c r="AC39" s="140"/>
      <c r="AE39" s="69" t="s">
        <v>67</v>
      </c>
      <c r="AF39" s="69" t="s">
        <v>213</v>
      </c>
      <c r="AG39" s="69" t="s">
        <v>214</v>
      </c>
      <c r="AH39" s="141" t="s">
        <v>85</v>
      </c>
      <c r="AK39" s="69" t="s">
        <v>67</v>
      </c>
      <c r="AL39" s="69" t="s">
        <v>213</v>
      </c>
      <c r="AM39" s="69" t="s">
        <v>214</v>
      </c>
      <c r="AN39" s="141" t="s">
        <v>85</v>
      </c>
      <c r="AQ39" s="69" t="s">
        <v>67</v>
      </c>
      <c r="AR39" s="69" t="s">
        <v>213</v>
      </c>
      <c r="AS39" s="69" t="s">
        <v>214</v>
      </c>
      <c r="AT39" s="141" t="s">
        <v>85</v>
      </c>
    </row>
    <row r="40" spans="1:46" ht="15.75" hidden="1">
      <c r="B40" s="22"/>
      <c r="C40" s="30" t="s">
        <v>211</v>
      </c>
      <c r="D40" s="30"/>
      <c r="E40" s="87"/>
      <c r="F40" s="81"/>
      <c r="G40" s="72">
        <v>49536.63411694525</v>
      </c>
      <c r="H40" s="83"/>
      <c r="J40" s="187">
        <f t="shared" ref="J40:J42" si="38">IF($D$2=$L$2,L40,IF($D$2=$M$2,M40,IF($D$2=$N$2,N40,IF($D$2=$R$2,R40,IF($D$2=$S$2,S40,IF($D$2=$T$2,T40,IF($D$2=$X$2,X40,IF($D$2=$Y$2,Y40,IF($D$2=$Z$2,Z40,IF($D$2=$AF$2,AF40,IF($D$2=$AG$2,AG40,IF($D$2=$AH$2,AH40,IF($D$2=$AL$2,AL40,IF($D$2=$AM$2,AM40,IF($D$2=$AN$2,AN40,IF($D$2=$AR$2,AR40,IF($D$2=$AS$2,AS40,IF($D$2=$AT$2,AT40))))))))))))))))))</f>
        <v>6.8522813764909971</v>
      </c>
      <c r="L40" s="73">
        <v>6.6569915082385442</v>
      </c>
      <c r="M40" s="73">
        <v>6.3829105977438489</v>
      </c>
      <c r="N40" s="142"/>
      <c r="P40" s="156">
        <v>1.0192926372122273</v>
      </c>
      <c r="Q40" s="140">
        <f>G40*P40</f>
        <v>50492.326427678316</v>
      </c>
      <c r="R40" s="579">
        <f>Q40/$E$6</f>
        <v>6.7854224303318675</v>
      </c>
      <c r="S40" s="579">
        <f>Q40/($E$7/100)</f>
        <v>6.506053776264201</v>
      </c>
      <c r="V40" s="156">
        <f>(47489.8+3813.55)/(46069.41+3467.59)</f>
        <v>1.0356571855380827</v>
      </c>
      <c r="W40" s="140">
        <f>G40*V40</f>
        <v>51302.971070585285</v>
      </c>
      <c r="X40" s="579">
        <f>W40/$E$6</f>
        <v>6.8943610895732466</v>
      </c>
      <c r="Y40" s="579">
        <f>W40/($E$7/100)</f>
        <v>6.6105072252005952</v>
      </c>
      <c r="AB40" s="140"/>
      <c r="AC40" s="140"/>
      <c r="AD40" s="156">
        <f>(46967.41+3988.21)/W40</f>
        <v>0.99322941608766913</v>
      </c>
      <c r="AE40" s="621">
        <f>W40*AD40</f>
        <v>50955.62</v>
      </c>
      <c r="AF40" s="579">
        <f t="shared" ref="AF40:AF41" si="39">AE40/$AB$6</f>
        <v>6.8522813764909971</v>
      </c>
      <c r="AG40" s="579">
        <f t="shared" ref="AG40:AG41" si="40">AE40/($AB$7/100)</f>
        <v>6.3682982459429232</v>
      </c>
      <c r="AJ40" s="156">
        <f>AK40/AE40</f>
        <v>1.0086647949725662</v>
      </c>
      <c r="AK40" s="620">
        <f>47155.28+4241.86</f>
        <v>51397.14</v>
      </c>
      <c r="AL40" s="579">
        <f t="shared" ref="AL40:AL41" si="41">AK40/$AB$6</f>
        <v>6.911654989712626</v>
      </c>
      <c r="AM40" s="579">
        <f t="shared" ref="AM40:AM41" si="42">AK40/($AB$7/100)</f>
        <v>6.4234782445681722</v>
      </c>
      <c r="AP40" s="156"/>
      <c r="AQ40" s="140">
        <f>AK40*AP40</f>
        <v>0</v>
      </c>
      <c r="AR40" s="579">
        <f t="shared" ref="AR40:AR41" si="43">AQ40/$AB$6</f>
        <v>0</v>
      </c>
      <c r="AS40" s="579">
        <f t="shared" ref="AS40:AS41" si="44">AQ40/($AB$7/100)</f>
        <v>0</v>
      </c>
    </row>
    <row r="41" spans="1:46" ht="15.75" hidden="1">
      <c r="B41" s="24"/>
      <c r="C41" s="25" t="s">
        <v>212</v>
      </c>
      <c r="D41" s="25"/>
      <c r="E41" s="88"/>
      <c r="F41" s="83"/>
      <c r="G41" s="74">
        <v>17451.955744155846</v>
      </c>
      <c r="H41" s="83"/>
      <c r="J41" s="188">
        <f t="shared" si="38"/>
        <v>2.4620120221077686</v>
      </c>
      <c r="L41" s="75">
        <v>2.3452849242185172</v>
      </c>
      <c r="M41" s="75">
        <v>2.2487251153913941</v>
      </c>
      <c r="N41" s="143"/>
      <c r="P41" s="156">
        <v>1.0149999999999999</v>
      </c>
      <c r="Q41" s="140">
        <f>G41*P41</f>
        <v>17713.735080318183</v>
      </c>
      <c r="R41" s="579">
        <f>Q41/$E$6</f>
        <v>2.3804641980817949</v>
      </c>
      <c r="S41" s="579">
        <f>Q41/($E$7/100)</f>
        <v>2.2824559921222649</v>
      </c>
      <c r="V41" s="156">
        <f>17812.19/17452</f>
        <v>1.0206388952555581</v>
      </c>
      <c r="W41" s="140">
        <f>G41*V41</f>
        <v>17812.144830764115</v>
      </c>
      <c r="X41" s="579">
        <f>W41/$E$6</f>
        <v>2.3936890141139027</v>
      </c>
      <c r="Y41" s="579">
        <f>W41/($E$7/100)</f>
        <v>2.2951363175065</v>
      </c>
      <c r="AB41" s="140"/>
      <c r="AC41" s="140"/>
      <c r="AD41" s="156">
        <f>18308.26/W41</f>
        <v>1.0278526350391572</v>
      </c>
      <c r="AE41" s="621">
        <f>W41*AD41</f>
        <v>18308.259999999998</v>
      </c>
      <c r="AF41" s="579">
        <f t="shared" si="39"/>
        <v>2.4620120221077686</v>
      </c>
      <c r="AG41" s="579">
        <f t="shared" si="40"/>
        <v>2.288117778652619</v>
      </c>
      <c r="AJ41" s="156">
        <v>1.0484</v>
      </c>
      <c r="AK41" s="140">
        <f>AE41*AJ41</f>
        <v>19194.379783999997</v>
      </c>
      <c r="AL41" s="579">
        <f t="shared" si="41"/>
        <v>2.5811734039777843</v>
      </c>
      <c r="AM41" s="579">
        <f t="shared" si="42"/>
        <v>2.3988626791394059</v>
      </c>
      <c r="AP41" s="156"/>
      <c r="AQ41" s="140">
        <f>AK41*AP41</f>
        <v>0</v>
      </c>
      <c r="AR41" s="579">
        <f t="shared" si="43"/>
        <v>0</v>
      </c>
      <c r="AS41" s="579">
        <f t="shared" si="44"/>
        <v>0</v>
      </c>
    </row>
    <row r="42" spans="1:46" ht="15.75" hidden="1">
      <c r="B42" s="26"/>
      <c r="C42" s="27" t="s">
        <v>6</v>
      </c>
      <c r="D42" s="27"/>
      <c r="E42" s="89"/>
      <c r="F42" s="85"/>
      <c r="G42" s="78">
        <v>66988.589861101093</v>
      </c>
      <c r="H42" s="90"/>
      <c r="J42" s="189">
        <f t="shared" si="38"/>
        <v>9.3142933985987657</v>
      </c>
      <c r="L42" s="80">
        <v>9.0022764324570623</v>
      </c>
      <c r="M42" s="80">
        <v>8.6316357131352426</v>
      </c>
      <c r="N42" s="202">
        <f>G42/$N$9</f>
        <v>4.5603655772792018E-2</v>
      </c>
      <c r="P42" s="160"/>
      <c r="Q42" s="161">
        <f>SUM(Q40:Q41)</f>
        <v>68206.061507996492</v>
      </c>
      <c r="R42" s="594">
        <f>Q42/$E$6</f>
        <v>9.1658866284136611</v>
      </c>
      <c r="S42" s="594">
        <f>Q42/($E$7/100)</f>
        <v>8.788509768386465</v>
      </c>
      <c r="T42" s="415">
        <f>Q42/T$9</f>
        <v>4.3428584180708815E-2</v>
      </c>
      <c r="V42" s="160"/>
      <c r="W42" s="161">
        <f>SUM(W40:W41)</f>
        <v>69115.115901349403</v>
      </c>
      <c r="X42" s="594">
        <f>W42/$E$6</f>
        <v>9.2880501036871497</v>
      </c>
      <c r="Y42" s="594">
        <f>W42/($E$7/100)</f>
        <v>8.9056435427070948</v>
      </c>
      <c r="Z42" s="415">
        <f>W42/Z$9</f>
        <v>4.3361766804210597E-2</v>
      </c>
      <c r="AB42" s="140"/>
      <c r="AC42" s="140"/>
      <c r="AD42" s="160"/>
      <c r="AE42" s="594">
        <f>SUM(AE40:AE41)</f>
        <v>69263.88</v>
      </c>
      <c r="AF42" s="594">
        <f>AE42/$AB$6</f>
        <v>9.3142933985987657</v>
      </c>
      <c r="AG42" s="594">
        <f>AE42/($AB$7/100)</f>
        <v>8.6564160245955435</v>
      </c>
      <c r="AH42" s="415">
        <f>AE42/AH$9</f>
        <v>4.1181801146499893E-2</v>
      </c>
      <c r="AJ42" s="160"/>
      <c r="AK42" s="161">
        <f>SUM(AK40:AK41)</f>
        <v>70591.519784000004</v>
      </c>
      <c r="AL42" s="594">
        <f>AK42/$AB$6</f>
        <v>9.4928283936904112</v>
      </c>
      <c r="AM42" s="594">
        <f>AK42/($AB$7/100)</f>
        <v>8.8223409237075785</v>
      </c>
      <c r="AN42" s="415">
        <f>AK42/AN$9</f>
        <v>3.6274518059316863E-2</v>
      </c>
      <c r="AP42" s="160"/>
      <c r="AQ42" s="161">
        <f>SUM(AQ40:AQ41)</f>
        <v>0</v>
      </c>
      <c r="AR42" s="594">
        <f>AQ42/$AB$6</f>
        <v>0</v>
      </c>
      <c r="AS42" s="594">
        <f>AQ42/($AB$7/100)</f>
        <v>0</v>
      </c>
      <c r="AT42" s="415">
        <f>AQ42/AT$9</f>
        <v>0</v>
      </c>
    </row>
    <row r="43" spans="1:46" ht="15.75" hidden="1">
      <c r="B43" s="28"/>
      <c r="C43" s="29"/>
      <c r="D43" s="29"/>
      <c r="E43" s="29"/>
      <c r="F43" s="29"/>
      <c r="G43" s="29"/>
      <c r="H43" s="91"/>
      <c r="J43" s="190"/>
      <c r="L43" s="29"/>
      <c r="M43" s="29"/>
      <c r="N43" s="145"/>
      <c r="AB43" s="140"/>
    </row>
    <row r="44" spans="1:46" ht="15.75" hidden="1">
      <c r="A44" s="21"/>
      <c r="B44" s="17">
        <v>4</v>
      </c>
      <c r="C44" s="18" t="s">
        <v>215</v>
      </c>
      <c r="D44" s="18"/>
      <c r="E44" s="18"/>
      <c r="F44" s="18"/>
      <c r="G44" s="68" t="s">
        <v>67</v>
      </c>
      <c r="H44" s="92"/>
      <c r="J44" s="186" t="s">
        <v>88</v>
      </c>
      <c r="L44" s="69" t="s">
        <v>213</v>
      </c>
      <c r="M44" s="69" t="s">
        <v>214</v>
      </c>
      <c r="N44" s="141" t="s">
        <v>85</v>
      </c>
      <c r="Q44" s="69" t="s">
        <v>67</v>
      </c>
      <c r="R44" s="69" t="s">
        <v>213</v>
      </c>
      <c r="S44" s="69" t="s">
        <v>214</v>
      </c>
      <c r="T44" s="141" t="s">
        <v>85</v>
      </c>
      <c r="W44" s="69" t="s">
        <v>67</v>
      </c>
      <c r="X44" s="69" t="s">
        <v>213</v>
      </c>
      <c r="Y44" s="69" t="s">
        <v>214</v>
      </c>
      <c r="Z44" s="141" t="s">
        <v>85</v>
      </c>
      <c r="AB44" s="140"/>
      <c r="AC44" s="140"/>
      <c r="AE44" s="69" t="s">
        <v>67</v>
      </c>
      <c r="AF44" s="69" t="s">
        <v>213</v>
      </c>
      <c r="AG44" s="69" t="s">
        <v>214</v>
      </c>
      <c r="AH44" s="141" t="s">
        <v>85</v>
      </c>
      <c r="AK44" s="69" t="s">
        <v>67</v>
      </c>
      <c r="AL44" s="69" t="s">
        <v>213</v>
      </c>
      <c r="AM44" s="69" t="s">
        <v>214</v>
      </c>
      <c r="AN44" s="141" t="s">
        <v>85</v>
      </c>
      <c r="AQ44" s="69" t="s">
        <v>67</v>
      </c>
      <c r="AR44" s="69" t="s">
        <v>213</v>
      </c>
      <c r="AS44" s="69" t="s">
        <v>214</v>
      </c>
      <c r="AT44" s="141" t="s">
        <v>85</v>
      </c>
    </row>
    <row r="45" spans="1:46" ht="15.75" hidden="1">
      <c r="B45" s="22"/>
      <c r="C45" s="30" t="s">
        <v>216</v>
      </c>
      <c r="D45" s="30"/>
      <c r="E45" s="81"/>
      <c r="F45" s="82"/>
      <c r="G45" s="93">
        <v>22826.869465249096</v>
      </c>
      <c r="H45" s="83"/>
      <c r="J45" s="191">
        <f t="shared" ref="J45:J51" si="45">IF($D$2=$L$2,L45,IF($D$2=$M$2,M45,IF($D$2=$N$2,N45,IF($D$2=$R$2,R45,IF($D$2=$S$2,S45,IF($D$2=$T$2,T45,IF($D$2=$X$2,X45,IF($D$2=$Y$2,Y45,IF($D$2=$Z$2,Z45,IF($D$2=$AF$2,AF45,IF($D$2=$AG$2,AG45,IF($D$2=$AH$2,AH45,IF($D$2=$AL$2,AL45,IF($D$2=$AM$2,AM45,IF($D$2=$AN$2,AN45,IF($D$2=$AR$2,AR45,IF($D$2=$AS$2,AS45,IF($D$2=$AT$2,AT45))))))))))))))))))</f>
        <v>3.0938246970800978</v>
      </c>
      <c r="L45" s="94">
        <v>3.0675938908382916</v>
      </c>
      <c r="M45" s="94">
        <v>2.9412952579515879</v>
      </c>
      <c r="N45" s="142"/>
      <c r="P45" s="156">
        <f>3.86/3.81</f>
        <v>1.0131233595800524</v>
      </c>
      <c r="Q45" s="140">
        <f>G45*P45</f>
        <v>23126.434681328479</v>
      </c>
      <c r="R45" s="579">
        <f t="shared" ref="R45:R51" si="46">Q45/$E$6</f>
        <v>3.1078510285133345</v>
      </c>
      <c r="S45" s="579">
        <f t="shared" ref="S45:S51" si="47">Q45/($E$7/100)</f>
        <v>2.9798949332527895</v>
      </c>
      <c r="V45" s="156">
        <f>3.88/3.81</f>
        <v>1.0183727034120735</v>
      </c>
      <c r="W45" s="140">
        <f>G45*V45</f>
        <v>23246.260767760235</v>
      </c>
      <c r="X45" s="579">
        <f t="shared" ref="X45:X51" si="48">W45/$E$6</f>
        <v>3.1239538835833525</v>
      </c>
      <c r="Y45" s="579">
        <f t="shared" ref="Y45:Y51" si="49">W45/($E$7/100)</f>
        <v>2.9953348033732707</v>
      </c>
      <c r="AB45" s="140"/>
      <c r="AD45" s="156">
        <f>3.84/3.88</f>
        <v>0.98969072164948457</v>
      </c>
      <c r="AE45" s="579">
        <f>W45*AD45</f>
        <v>23006.60859489673</v>
      </c>
      <c r="AF45" s="579">
        <f t="shared" ref="AF45:AF50" si="50">AE45/$AB$6</f>
        <v>3.0938246970800978</v>
      </c>
      <c r="AG45" s="579">
        <f t="shared" ref="AG45:AG50" si="51">AE45/($AB$7/100)</f>
        <v>2.8753049253443725</v>
      </c>
      <c r="AJ45" s="156">
        <f>3.76/3.84</f>
        <v>0.97916666666666663</v>
      </c>
      <c r="AK45" s="140">
        <f>AE45*AJ45</f>
        <v>22527.304249169712</v>
      </c>
      <c r="AL45" s="579">
        <f t="shared" ref="AL45:AL50" si="52">AK45/$AB$6</f>
        <v>3.0293700158909287</v>
      </c>
      <c r="AM45" s="579">
        <f t="shared" ref="AM45:AM50" si="53">AK45/($AB$7/100)</f>
        <v>2.8154027393996981</v>
      </c>
      <c r="AP45" s="156"/>
      <c r="AQ45" s="140">
        <f>AK45*AP45</f>
        <v>0</v>
      </c>
      <c r="AR45" s="579">
        <f t="shared" ref="AR45:AR50" si="54">AQ45/$AB$6</f>
        <v>0</v>
      </c>
      <c r="AS45" s="579">
        <f t="shared" ref="AS45:AS50" si="55">AQ45/($AB$7/100)</f>
        <v>0</v>
      </c>
    </row>
    <row r="46" spans="1:46" ht="15.75" hidden="1">
      <c r="B46" s="24"/>
      <c r="C46" s="25" t="s">
        <v>217</v>
      </c>
      <c r="D46" s="25"/>
      <c r="E46" s="83"/>
      <c r="F46" s="20"/>
      <c r="G46" s="407">
        <v>11897.34039642029</v>
      </c>
      <c r="H46" s="83"/>
      <c r="J46" s="188">
        <f t="shared" si="45"/>
        <v>1.7682560886274887</v>
      </c>
      <c r="L46" s="114">
        <v>1.5988267148433637</v>
      </c>
      <c r="M46" s="114">
        <v>1.5329999999999999</v>
      </c>
      <c r="N46" s="143"/>
      <c r="P46" s="156">
        <f>1.533/1.533</f>
        <v>1</v>
      </c>
      <c r="Q46" s="140">
        <f t="shared" ref="Q46:Q50" si="56">G46*P46</f>
        <v>11897.34039642029</v>
      </c>
      <c r="R46" s="579">
        <f t="shared" si="46"/>
        <v>1.5988267148433637</v>
      </c>
      <c r="S46" s="579">
        <f t="shared" si="47"/>
        <v>1.5329999999999999</v>
      </c>
      <c r="V46" s="156">
        <f>1.596/1.596</f>
        <v>1</v>
      </c>
      <c r="W46" s="140">
        <f>G46*V46</f>
        <v>11897.34039642029</v>
      </c>
      <c r="X46" s="579">
        <f t="shared" si="48"/>
        <v>1.5988267148433637</v>
      </c>
      <c r="Y46" s="579">
        <f t="shared" si="49"/>
        <v>1.5329999999999999</v>
      </c>
      <c r="AB46" s="140"/>
      <c r="AD46" s="156">
        <f>1.691/1.53</f>
        <v>1.1052287581699347</v>
      </c>
      <c r="AE46" s="621">
        <f>W46*AD46</f>
        <v>13149.282751860595</v>
      </c>
      <c r="AF46" s="579">
        <f t="shared" si="50"/>
        <v>1.7682560886274887</v>
      </c>
      <c r="AG46" s="579">
        <f t="shared" si="51"/>
        <v>1.643362484532253</v>
      </c>
      <c r="AJ46" s="156">
        <f>1.74/1.691</f>
        <v>1.0289769367238319</v>
      </c>
      <c r="AK46" s="140">
        <f>AE46*AJ46</f>
        <v>13530.308686125034</v>
      </c>
      <c r="AL46" s="579">
        <f t="shared" si="52"/>
        <v>1.819494733419178</v>
      </c>
      <c r="AM46" s="579">
        <f t="shared" si="53"/>
        <v>1.6909820952608632</v>
      </c>
      <c r="AP46" s="156"/>
      <c r="AQ46" s="140">
        <f>AK46*AP46</f>
        <v>0</v>
      </c>
      <c r="AR46" s="579">
        <f t="shared" si="54"/>
        <v>0</v>
      </c>
      <c r="AS46" s="579">
        <f t="shared" si="55"/>
        <v>0</v>
      </c>
    </row>
    <row r="47" spans="1:46" ht="15.75" hidden="1">
      <c r="B47" s="24"/>
      <c r="C47" s="25"/>
      <c r="D47" s="25"/>
      <c r="E47" s="83"/>
      <c r="F47" s="20"/>
      <c r="G47" s="407"/>
      <c r="H47" s="83"/>
      <c r="J47" s="188"/>
      <c r="L47" s="114"/>
      <c r="M47" s="114"/>
      <c r="N47" s="143"/>
      <c r="P47" s="156"/>
      <c r="Q47" s="140"/>
      <c r="R47" s="579"/>
      <c r="S47" s="579"/>
      <c r="V47" s="156"/>
      <c r="W47" s="140"/>
      <c r="X47" s="579"/>
      <c r="Y47" s="579"/>
      <c r="AB47" s="156" t="s">
        <v>376</v>
      </c>
      <c r="AC47" s="140"/>
      <c r="AE47" s="614">
        <v>406.14</v>
      </c>
      <c r="AF47" s="579">
        <f t="shared" si="50"/>
        <v>5.461587079596035E-2</v>
      </c>
      <c r="AG47" s="579">
        <f t="shared" si="51"/>
        <v>5.0758300058114464E-2</v>
      </c>
      <c r="AJ47" s="156">
        <f>1.74/1.691</f>
        <v>1.0289769367238319</v>
      </c>
      <c r="AK47" s="140">
        <f>AE47*AJ47</f>
        <v>417.90869308101708</v>
      </c>
      <c r="AL47" s="579">
        <f t="shared" si="52"/>
        <v>5.6198471428131877E-2</v>
      </c>
      <c r="AM47" s="579">
        <f t="shared" si="53"/>
        <v>5.2229120107107722E-2</v>
      </c>
      <c r="AP47" s="156"/>
      <c r="AQ47" s="140"/>
      <c r="AR47" s="579">
        <f t="shared" si="54"/>
        <v>0</v>
      </c>
      <c r="AS47" s="579">
        <f t="shared" si="55"/>
        <v>0</v>
      </c>
    </row>
    <row r="48" spans="1:46" ht="15.75" hidden="1">
      <c r="B48" s="24"/>
      <c r="C48" s="25" t="s">
        <v>218</v>
      </c>
      <c r="D48" s="25"/>
      <c r="E48" s="83"/>
      <c r="F48" s="20"/>
      <c r="G48" s="407">
        <v>15.571933318903319</v>
      </c>
      <c r="H48" s="83"/>
      <c r="J48" s="188">
        <f t="shared" si="45"/>
        <v>2.0940431826181462E-3</v>
      </c>
      <c r="L48" s="114">
        <v>2.0926376956914797E-3</v>
      </c>
      <c r="M48" s="114">
        <v>2.0064798503253217E-3</v>
      </c>
      <c r="N48" s="143"/>
      <c r="P48" s="156">
        <f>1.533/1.533</f>
        <v>1</v>
      </c>
      <c r="Q48" s="140">
        <f>G48*P48</f>
        <v>15.571933318903319</v>
      </c>
      <c r="R48" s="579">
        <f t="shared" si="46"/>
        <v>2.0926376956914797E-3</v>
      </c>
      <c r="S48" s="579">
        <f t="shared" si="47"/>
        <v>2.0064798503253217E-3</v>
      </c>
      <c r="V48" s="157">
        <v>1</v>
      </c>
      <c r="W48" s="140">
        <f>G48*V48</f>
        <v>15.571933318903319</v>
      </c>
      <c r="X48" s="579">
        <f t="shared" si="48"/>
        <v>2.0926376956914797E-3</v>
      </c>
      <c r="Y48" s="579">
        <f t="shared" si="49"/>
        <v>2.0064798503253217E-3</v>
      </c>
      <c r="AB48"/>
      <c r="AD48" s="595">
        <v>1</v>
      </c>
      <c r="AE48" s="579">
        <f t="shared" ref="AE48:AE50" si="57">W48*AD48</f>
        <v>15.571933318903319</v>
      </c>
      <c r="AF48" s="579">
        <f t="shared" si="50"/>
        <v>2.0940431826181462E-3</v>
      </c>
      <c r="AG48" s="579">
        <f t="shared" si="51"/>
        <v>1.9461389271823633E-3</v>
      </c>
      <c r="AJ48" s="595">
        <v>1</v>
      </c>
      <c r="AK48" s="140">
        <f>AE48*AJ48</f>
        <v>15.571933318903319</v>
      </c>
      <c r="AL48" s="579">
        <f t="shared" si="52"/>
        <v>2.0940431826181462E-3</v>
      </c>
      <c r="AM48" s="579">
        <f t="shared" si="53"/>
        <v>1.9461389271823633E-3</v>
      </c>
      <c r="AP48" s="595">
        <v>1</v>
      </c>
      <c r="AQ48" s="140">
        <f t="shared" ref="AQ48:AQ50" si="58">AK48*AP48</f>
        <v>15.571933318903319</v>
      </c>
      <c r="AR48" s="579">
        <f t="shared" si="54"/>
        <v>2.0940431826181462E-3</v>
      </c>
      <c r="AS48" s="579">
        <f t="shared" si="55"/>
        <v>1.9461389271823633E-3</v>
      </c>
    </row>
    <row r="49" spans="1:46" ht="15.75" hidden="1">
      <c r="B49" s="24"/>
      <c r="C49" s="25" t="s">
        <v>219</v>
      </c>
      <c r="D49" s="25"/>
      <c r="E49" s="83"/>
      <c r="F49" s="20"/>
      <c r="G49" s="407">
        <v>850.13684065141206</v>
      </c>
      <c r="H49" s="83"/>
      <c r="J49" s="188">
        <f t="shared" si="45"/>
        <v>0.11522273597389603</v>
      </c>
      <c r="L49" s="114">
        <v>0.11424582695095285</v>
      </c>
      <c r="M49" s="114">
        <v>0.10954211053007643</v>
      </c>
      <c r="N49" s="143"/>
      <c r="P49" s="156">
        <f>3.86/3.81</f>
        <v>1.0131233595800524</v>
      </c>
      <c r="Q49" s="140">
        <f t="shared" si="56"/>
        <v>861.2934921035303</v>
      </c>
      <c r="R49" s="579">
        <f t="shared" si="46"/>
        <v>0.11574511601855066</v>
      </c>
      <c r="S49" s="579">
        <f t="shared" si="47"/>
        <v>0.11097967103572046</v>
      </c>
      <c r="V49" s="157">
        <f>V45</f>
        <v>1.0183727034120735</v>
      </c>
      <c r="W49" s="140">
        <f>G49*V49</f>
        <v>865.75615268437764</v>
      </c>
      <c r="X49" s="579">
        <f t="shared" si="48"/>
        <v>0.11634483164558979</v>
      </c>
      <c r="Y49" s="579">
        <f t="shared" si="49"/>
        <v>0.11155469523797809</v>
      </c>
      <c r="AB49"/>
      <c r="AC49" s="140"/>
      <c r="AD49" s="157">
        <f>AD45</f>
        <v>0.98969072164948457</v>
      </c>
      <c r="AE49" s="579">
        <f t="shared" si="57"/>
        <v>856.83083152268307</v>
      </c>
      <c r="AF49" s="579">
        <f t="shared" si="50"/>
        <v>0.11522273597389603</v>
      </c>
      <c r="AG49" s="579">
        <f t="shared" si="51"/>
        <v>0.10708444488470004</v>
      </c>
      <c r="AJ49" s="156">
        <f>3.76/3.84</f>
        <v>0.97916666666666663</v>
      </c>
      <c r="AK49" s="140">
        <f t="shared" ref="AK49:AK50" si="59">AE49*AJ49</f>
        <v>838.98018919929382</v>
      </c>
      <c r="AL49" s="579">
        <f t="shared" si="52"/>
        <v>0.11282226230777319</v>
      </c>
      <c r="AM49" s="579">
        <f t="shared" si="53"/>
        <v>0.10485351894960211</v>
      </c>
      <c r="AP49" s="156"/>
      <c r="AQ49" s="140">
        <f t="shared" si="58"/>
        <v>0</v>
      </c>
      <c r="AR49" s="579">
        <f t="shared" si="54"/>
        <v>0</v>
      </c>
      <c r="AS49" s="579">
        <f t="shared" si="55"/>
        <v>0</v>
      </c>
    </row>
    <row r="50" spans="1:46" ht="15.75" hidden="1">
      <c r="B50" s="24"/>
      <c r="C50" s="25" t="s">
        <v>220</v>
      </c>
      <c r="D50" s="25"/>
      <c r="E50" s="83"/>
      <c r="F50" s="20"/>
      <c r="G50" s="407">
        <v>1483.8721455064046</v>
      </c>
      <c r="H50" s="83"/>
      <c r="J50" s="188">
        <f t="shared" si="45"/>
        <v>0.20481666043053451</v>
      </c>
      <c r="L50" s="114">
        <v>0.19941048575540549</v>
      </c>
      <c r="M50" s="114">
        <v>0.19120037951891838</v>
      </c>
      <c r="N50" s="143"/>
      <c r="P50" s="156">
        <f>8.97/8.97</f>
        <v>1</v>
      </c>
      <c r="Q50" s="140">
        <f t="shared" si="56"/>
        <v>1483.8721455064046</v>
      </c>
      <c r="R50" s="579">
        <f t="shared" si="46"/>
        <v>0.19941048575540549</v>
      </c>
      <c r="S50" s="579">
        <f t="shared" si="47"/>
        <v>0.19120037951891836</v>
      </c>
      <c r="V50" s="156">
        <f>8.97/8.97</f>
        <v>1</v>
      </c>
      <c r="W50" s="140">
        <f>G50*V50</f>
        <v>1483.8721455064046</v>
      </c>
      <c r="X50" s="579">
        <f t="shared" si="48"/>
        <v>0.19941048575540549</v>
      </c>
      <c r="Y50" s="579">
        <f t="shared" si="49"/>
        <v>0.19120037951891836</v>
      </c>
      <c r="AB50"/>
      <c r="AC50" s="140"/>
      <c r="AD50" s="156">
        <f>9.207/8.97</f>
        <v>1.0264214046822742</v>
      </c>
      <c r="AE50" s="579">
        <f t="shared" si="57"/>
        <v>1523.0781319595837</v>
      </c>
      <c r="AF50" s="579">
        <f t="shared" si="50"/>
        <v>0.20481666043053451</v>
      </c>
      <c r="AG50" s="579">
        <f t="shared" si="51"/>
        <v>0.19035026550932441</v>
      </c>
      <c r="AJ50" s="156">
        <f>9.286/9.207</f>
        <v>1.0085804279352666</v>
      </c>
      <c r="AK50" s="140">
        <f t="shared" si="59"/>
        <v>1536.1467941106434</v>
      </c>
      <c r="AL50" s="579">
        <f t="shared" si="52"/>
        <v>0.20657407502530067</v>
      </c>
      <c r="AM50" s="579">
        <f t="shared" si="53"/>
        <v>0.19198355224498603</v>
      </c>
      <c r="AP50" s="156"/>
      <c r="AQ50" s="140">
        <f t="shared" si="58"/>
        <v>0</v>
      </c>
      <c r="AR50" s="579">
        <f t="shared" si="54"/>
        <v>0</v>
      </c>
      <c r="AS50" s="579">
        <f t="shared" si="55"/>
        <v>0</v>
      </c>
    </row>
    <row r="51" spans="1:46" ht="15.75" hidden="1">
      <c r="B51" s="31"/>
      <c r="C51" s="27" t="s">
        <v>6</v>
      </c>
      <c r="D51" s="27"/>
      <c r="E51" s="95"/>
      <c r="F51" s="96"/>
      <c r="G51" s="78">
        <v>37073.790781146105</v>
      </c>
      <c r="H51" s="90"/>
      <c r="J51" s="189">
        <f t="shared" si="45"/>
        <v>5.238830096090596</v>
      </c>
      <c r="L51" s="80">
        <v>4.9821695560837043</v>
      </c>
      <c r="M51" s="80">
        <v>4.777044227850908</v>
      </c>
      <c r="N51" s="202">
        <f>G51/$N$9</f>
        <v>2.5238632377267763E-2</v>
      </c>
      <c r="P51" s="160"/>
      <c r="Q51" s="161">
        <f>SUM(Q45:Q50)</f>
        <v>37384.512648677613</v>
      </c>
      <c r="R51" s="594">
        <f t="shared" si="46"/>
        <v>5.0239259828263467</v>
      </c>
      <c r="S51" s="594">
        <f t="shared" si="47"/>
        <v>4.8170814636577539</v>
      </c>
      <c r="T51" s="415">
        <f>Q51/T$9</f>
        <v>2.3803697482628037E-2</v>
      </c>
      <c r="V51" s="160"/>
      <c r="W51" s="161">
        <f>SUM(W45:W50)</f>
        <v>37508.801395690214</v>
      </c>
      <c r="X51" s="594">
        <f t="shared" si="48"/>
        <v>5.040628553523403</v>
      </c>
      <c r="Y51" s="594">
        <f t="shared" si="49"/>
        <v>4.8330963579804926</v>
      </c>
      <c r="Z51" s="415">
        <f>W51/Z$9</f>
        <v>2.3532448408924874E-2</v>
      </c>
      <c r="AB51"/>
      <c r="AC51" s="140"/>
      <c r="AD51" s="160"/>
      <c r="AE51" s="594">
        <f>SUM(AE45:AE50)</f>
        <v>38957.5122435585</v>
      </c>
      <c r="AF51" s="594">
        <f>AE51/$AB$6</f>
        <v>5.238830096090596</v>
      </c>
      <c r="AG51" s="594">
        <f>AE51/($AB$7/100)</f>
        <v>4.8688065592559475</v>
      </c>
      <c r="AH51" s="415">
        <f>AE51/AH$9</f>
        <v>2.3162729583970185E-2</v>
      </c>
      <c r="AJ51" s="160"/>
      <c r="AK51" s="161">
        <f>SUM(AK45:AK50)</f>
        <v>38866.220545004609</v>
      </c>
      <c r="AL51" s="594">
        <f>AK51/$AB$6</f>
        <v>5.2265536012539311</v>
      </c>
      <c r="AM51" s="594">
        <f>AK51/($AB$7/100)</f>
        <v>4.8573971648894405</v>
      </c>
      <c r="AN51" s="415">
        <f>AK51/AN$9</f>
        <v>1.9971994134297042E-2</v>
      </c>
      <c r="AP51" s="160"/>
      <c r="AQ51" s="161">
        <f>SUM(AQ45:AQ50)</f>
        <v>15.571933318903319</v>
      </c>
      <c r="AR51" s="594">
        <f>AQ51/$AB$6</f>
        <v>2.0940431826181462E-3</v>
      </c>
      <c r="AS51" s="594">
        <f>AQ51/($AB$7/100)</f>
        <v>1.9461389271823633E-3</v>
      </c>
      <c r="AT51" s="415">
        <f>AQ51/AT$9</f>
        <v>1.7654629878652438E-4</v>
      </c>
    </row>
    <row r="52" spans="1:46" ht="15.75" hidden="1">
      <c r="B52" s="32"/>
      <c r="C52" s="33"/>
      <c r="D52" s="33"/>
      <c r="E52" s="33"/>
      <c r="F52" s="33"/>
      <c r="G52" s="33"/>
      <c r="H52" s="91"/>
      <c r="J52" s="192"/>
      <c r="L52" s="33"/>
      <c r="M52" s="33"/>
      <c r="N52" s="146"/>
      <c r="AB52"/>
    </row>
    <row r="53" spans="1:46" ht="15.75" hidden="1">
      <c r="A53" s="21"/>
      <c r="B53" s="17">
        <v>5</v>
      </c>
      <c r="C53" s="18" t="s">
        <v>221</v>
      </c>
      <c r="D53" s="18"/>
      <c r="E53" s="18"/>
      <c r="F53" s="18"/>
      <c r="G53" s="68" t="s">
        <v>67</v>
      </c>
      <c r="H53" s="92"/>
      <c r="J53" s="186" t="s">
        <v>88</v>
      </c>
      <c r="L53" s="69" t="s">
        <v>213</v>
      </c>
      <c r="M53" s="69" t="s">
        <v>214</v>
      </c>
      <c r="N53" s="141" t="s">
        <v>85</v>
      </c>
      <c r="Q53" s="69" t="s">
        <v>67</v>
      </c>
      <c r="R53" s="69" t="s">
        <v>213</v>
      </c>
      <c r="S53" s="69" t="s">
        <v>214</v>
      </c>
      <c r="T53" s="141" t="s">
        <v>85</v>
      </c>
      <c r="W53" s="69" t="s">
        <v>67</v>
      </c>
      <c r="X53" s="69" t="s">
        <v>213</v>
      </c>
      <c r="Y53" s="69" t="s">
        <v>214</v>
      </c>
      <c r="Z53" s="141" t="s">
        <v>85</v>
      </c>
      <c r="AB53"/>
      <c r="AC53" s="140"/>
      <c r="AE53" s="69" t="s">
        <v>67</v>
      </c>
      <c r="AF53" s="69" t="s">
        <v>213</v>
      </c>
      <c r="AG53" s="69" t="s">
        <v>214</v>
      </c>
      <c r="AH53" s="141" t="s">
        <v>85</v>
      </c>
      <c r="AK53" s="69" t="s">
        <v>67</v>
      </c>
      <c r="AL53" s="69" t="s">
        <v>213</v>
      </c>
      <c r="AM53" s="69" t="s">
        <v>214</v>
      </c>
      <c r="AN53" s="141" t="s">
        <v>85</v>
      </c>
      <c r="AQ53" s="69" t="s">
        <v>67</v>
      </c>
      <c r="AR53" s="69" t="s">
        <v>213</v>
      </c>
      <c r="AS53" s="69" t="s">
        <v>214</v>
      </c>
      <c r="AT53" s="141" t="s">
        <v>85</v>
      </c>
    </row>
    <row r="54" spans="1:46" ht="15.75" hidden="1">
      <c r="B54" s="22"/>
      <c r="C54" s="30" t="s">
        <v>222</v>
      </c>
      <c r="D54" s="30"/>
      <c r="E54" s="81"/>
      <c r="F54" s="82"/>
      <c r="G54" s="72">
        <v>17565.61230262867</v>
      </c>
      <c r="H54" s="83"/>
      <c r="J54" s="187">
        <f t="shared" ref="J54:J60" si="60">IF($D$2=$L$2,L54,IF($D$2=$M$2,M54,IF($D$2=$N$2,N54,IF($D$2=$R$2,R54,IF($D$2=$S$2,S54,IF($D$2=$T$2,T54,IF($D$2=$X$2,X54,IF($D$2=$Y$2,Y54,IF($D$2=$Z$2,Z54,IF($D$2=$AF$2,AF54,IF($D$2=$AG$2,AG54,IF($D$2=$AH$2,AH54,IF($D$2=$AL$2,AL54,IF($D$2=$AM$2,AM54,IF($D$2=$AN$2,AN54,IF($D$2=$AR$2,AR54,IF($D$2=$AS$2,AS54,IF($D$2=$AT$2,AT54))))))))))))))))))</f>
        <v>2.3835687537503194</v>
      </c>
      <c r="L54" s="73">
        <v>0.10924127102473509</v>
      </c>
      <c r="M54" s="73">
        <v>2.2633700274753807</v>
      </c>
      <c r="N54" s="142"/>
      <c r="P54" s="156">
        <v>1.0072715929852423</v>
      </c>
      <c r="Q54" s="140">
        <f>G54*P54</f>
        <v>17693.342285829949</v>
      </c>
      <c r="R54" s="579">
        <f t="shared" ref="R54:R60" si="61">Q54/$E$6</f>
        <v>2.377723707893928</v>
      </c>
      <c r="S54" s="579">
        <f t="shared" ref="S54:S60" si="62">Q54/($E$7/100)</f>
        <v>2.2798283330901783</v>
      </c>
      <c r="V54" s="156">
        <f>(56.67+2065.91+10811.75+4624.27)/(60.99+1920.88+11017.46+4566.28)</f>
        <v>0.9996009247615083</v>
      </c>
      <c r="W54" s="140">
        <f t="shared" ref="W54:W59" si="63">G54*V54</f>
        <v>17558.602301709747</v>
      </c>
      <c r="X54" s="579">
        <f t="shared" ref="X54:X60" si="64">W54/$E$6</f>
        <v>2.3596166453916423</v>
      </c>
      <c r="Y54" s="579">
        <f t="shared" ref="Y54:Y60" si="65">W54/($E$7/100)</f>
        <v>2.2624667725418712</v>
      </c>
      <c r="AB54"/>
      <c r="AC54" s="140"/>
      <c r="AD54" s="156">
        <f>(4671.44+10928.52+2067.98+56.99)/(4624.27+10811.75+2065.91+56.67)</f>
        <v>1.009472850910665</v>
      </c>
      <c r="AE54" s="579">
        <f>W54*AD54</f>
        <v>17724.932323513502</v>
      </c>
      <c r="AF54" s="579">
        <f t="shared" ref="AF54:AF59" si="66">AE54/$AB$6</f>
        <v>2.3835687537503194</v>
      </c>
      <c r="AG54" s="579">
        <f t="shared" ref="AG54:AG59" si="67">AE54/($AB$7/100)</f>
        <v>2.2152150327145081</v>
      </c>
      <c r="AJ54" s="156">
        <f>AK54/AE54</f>
        <v>1.0236840214012892</v>
      </c>
      <c r="AK54" s="140">
        <f>57.94+2185.03+11115.4+4786.36</f>
        <v>18144.73</v>
      </c>
      <c r="AL54" s="579">
        <f t="shared" ref="AL54:AL59" si="68">AK54/$AB$6</f>
        <v>2.4400212471255864</v>
      </c>
      <c r="AM54" s="579">
        <f t="shared" ref="AM54:AM59" si="69">AK54/($AB$7/100)</f>
        <v>2.2676802329577765</v>
      </c>
      <c r="AP54" s="156"/>
      <c r="AQ54" s="140">
        <f>AK54*AP54</f>
        <v>0</v>
      </c>
      <c r="AR54" s="579">
        <f t="shared" ref="AR54:AR59" si="70">AQ54/$AB$6</f>
        <v>0</v>
      </c>
      <c r="AS54" s="579">
        <f t="shared" ref="AS54:AS59" si="71">AQ54/($AB$7/100)</f>
        <v>0</v>
      </c>
    </row>
    <row r="55" spans="1:46" ht="15.75" hidden="1">
      <c r="B55" s="24"/>
      <c r="C55" s="25" t="s">
        <v>223</v>
      </c>
      <c r="D55" s="25"/>
      <c r="E55" s="83"/>
      <c r="F55" s="20"/>
      <c r="G55" s="74">
        <v>12304.752496297924</v>
      </c>
      <c r="H55" s="83"/>
      <c r="J55" s="188">
        <f t="shared" si="60"/>
        <v>1.5121992808251412</v>
      </c>
      <c r="K55" s="57"/>
      <c r="L55" s="75">
        <v>1.6535768797987838</v>
      </c>
      <c r="M55" s="75">
        <v>1.5854959972819076</v>
      </c>
      <c r="N55" s="143"/>
      <c r="P55" s="156">
        <v>0.99639999999999995</v>
      </c>
      <c r="Q55" s="140">
        <f>G55*P55</f>
        <v>12260.455387311251</v>
      </c>
      <c r="R55" s="579">
        <f t="shared" si="61"/>
        <v>1.6476240030315079</v>
      </c>
      <c r="S55" s="579">
        <f t="shared" si="62"/>
        <v>1.5797882116916928</v>
      </c>
      <c r="U55" s="597"/>
      <c r="V55" s="156">
        <f>12365.48/G55</f>
        <v>1.0049352885172087</v>
      </c>
      <c r="W55" s="140">
        <f t="shared" si="63"/>
        <v>12365.479999999998</v>
      </c>
      <c r="X55" s="579">
        <f t="shared" si="64"/>
        <v>1.6617377587859763</v>
      </c>
      <c r="Y55" s="579">
        <f t="shared" si="65"/>
        <v>1.5933208774713734</v>
      </c>
      <c r="AB55"/>
      <c r="AC55" s="140"/>
      <c r="AD55" s="156">
        <v>0.90939999999999999</v>
      </c>
      <c r="AE55" s="579">
        <f t="shared" ref="AE55:AE59" si="72">W55*AD55</f>
        <v>11245.167511999998</v>
      </c>
      <c r="AF55" s="579">
        <f t="shared" si="66"/>
        <v>1.5121992808251412</v>
      </c>
      <c r="AG55" s="579">
        <f t="shared" si="67"/>
        <v>1.4053912118428533</v>
      </c>
      <c r="AJ55" s="156">
        <v>1.196</v>
      </c>
      <c r="AK55" s="140">
        <f t="shared" ref="AK55:AK57" si="73">AE55*AJ55</f>
        <v>13449.220344351997</v>
      </c>
      <c r="AL55" s="579">
        <f t="shared" si="68"/>
        <v>1.8085903398668688</v>
      </c>
      <c r="AM55" s="579">
        <f t="shared" si="69"/>
        <v>1.6808478893640524</v>
      </c>
      <c r="AP55" s="156"/>
      <c r="AQ55" s="140">
        <f t="shared" ref="AQ55:AQ59" si="74">AK55*AP55</f>
        <v>0</v>
      </c>
      <c r="AR55" s="579">
        <f t="shared" si="70"/>
        <v>0</v>
      </c>
      <c r="AS55" s="579">
        <f t="shared" si="71"/>
        <v>0</v>
      </c>
    </row>
    <row r="56" spans="1:46" ht="15.75" hidden="1">
      <c r="B56" s="24"/>
      <c r="C56" s="25" t="s">
        <v>224</v>
      </c>
      <c r="D56" s="25"/>
      <c r="E56" s="83"/>
      <c r="F56" s="20"/>
      <c r="G56" s="74">
        <v>5658.3168478988064</v>
      </c>
      <c r="H56" s="83"/>
      <c r="J56" s="188">
        <f t="shared" si="60"/>
        <v>0.82598066242620649</v>
      </c>
      <c r="K56" s="57"/>
      <c r="L56" s="75">
        <v>0.76039415836087998</v>
      </c>
      <c r="M56" s="75">
        <v>0.72908729504274683</v>
      </c>
      <c r="N56" s="143"/>
      <c r="P56" s="156">
        <v>1.0066999999999999</v>
      </c>
      <c r="Q56" s="140">
        <f>G56*P56</f>
        <v>5696.227570779728</v>
      </c>
      <c r="R56" s="579">
        <f t="shared" si="61"/>
        <v>0.76548879922189783</v>
      </c>
      <c r="S56" s="579">
        <f t="shared" si="62"/>
        <v>0.73397217991953312</v>
      </c>
      <c r="V56" s="156">
        <v>1.0589999999999999</v>
      </c>
      <c r="W56" s="140">
        <f t="shared" si="63"/>
        <v>5992.1575419248356</v>
      </c>
      <c r="X56" s="579">
        <f t="shared" si="64"/>
        <v>0.80525741370417192</v>
      </c>
      <c r="Y56" s="579">
        <f t="shared" si="65"/>
        <v>0.77210344545026877</v>
      </c>
      <c r="AB56"/>
      <c r="AC56" s="140"/>
      <c r="AD56" s="156">
        <f>6142.24/W56</f>
        <v>1.0250464806749646</v>
      </c>
      <c r="AE56" s="579">
        <f t="shared" si="72"/>
        <v>6142.24</v>
      </c>
      <c r="AF56" s="579">
        <f t="shared" si="66"/>
        <v>0.82598066242620649</v>
      </c>
      <c r="AG56" s="579">
        <f t="shared" si="67"/>
        <v>0.76764086509320184</v>
      </c>
      <c r="AJ56" s="156">
        <v>1.0159</v>
      </c>
      <c r="AK56" s="140">
        <f t="shared" si="73"/>
        <v>6239.9016160000001</v>
      </c>
      <c r="AL56" s="579">
        <f t="shared" si="68"/>
        <v>0.83911375495878326</v>
      </c>
      <c r="AM56" s="579">
        <f t="shared" si="69"/>
        <v>0.77984635484818376</v>
      </c>
      <c r="AP56" s="156"/>
      <c r="AQ56" s="140">
        <f t="shared" si="74"/>
        <v>0</v>
      </c>
      <c r="AR56" s="579">
        <f t="shared" si="70"/>
        <v>0</v>
      </c>
      <c r="AS56" s="579">
        <f t="shared" si="71"/>
        <v>0</v>
      </c>
    </row>
    <row r="57" spans="1:46" ht="15.75" hidden="1">
      <c r="B57" s="24"/>
      <c r="C57" s="25" t="s">
        <v>39</v>
      </c>
      <c r="D57" s="25"/>
      <c r="E57" s="83"/>
      <c r="F57" s="20"/>
      <c r="G57" s="74">
        <v>939.35842597402609</v>
      </c>
      <c r="H57" s="83"/>
      <c r="J57" s="188">
        <f t="shared" si="60"/>
        <v>0.13522826824001663</v>
      </c>
      <c r="K57" s="57"/>
      <c r="L57" s="75">
        <v>0.12623588938519176</v>
      </c>
      <c r="M57" s="75">
        <v>0.12103851945359693</v>
      </c>
      <c r="N57" s="143"/>
      <c r="P57" s="156">
        <v>1.0125999999999999</v>
      </c>
      <c r="Q57" s="140">
        <f t="shared" ref="Q57:Q59" si="75">G57*P57</f>
        <v>951.19434214129876</v>
      </c>
      <c r="R57" s="579">
        <f t="shared" si="61"/>
        <v>0.12782646159144517</v>
      </c>
      <c r="S57" s="579">
        <f t="shared" si="62"/>
        <v>0.12256360479871224</v>
      </c>
      <c r="V57" s="156">
        <v>1.0441</v>
      </c>
      <c r="W57" s="140">
        <f t="shared" si="63"/>
        <v>980.78413255948067</v>
      </c>
      <c r="X57" s="579">
        <f t="shared" si="64"/>
        <v>0.13180289210707871</v>
      </c>
      <c r="Y57" s="579">
        <f t="shared" si="65"/>
        <v>0.12637631816150055</v>
      </c>
      <c r="AB57"/>
      <c r="AC57" s="140"/>
      <c r="AD57" s="156">
        <v>1.0253000000000001</v>
      </c>
      <c r="AE57" s="579">
        <f t="shared" si="72"/>
        <v>1005.5979711132356</v>
      </c>
      <c r="AF57" s="579">
        <f t="shared" si="66"/>
        <v>0.13522826824001663</v>
      </c>
      <c r="AG57" s="579">
        <f t="shared" si="67"/>
        <v>0.12567696743880619</v>
      </c>
      <c r="AJ57" s="156">
        <v>1.0130999999999999</v>
      </c>
      <c r="AK57" s="140">
        <f t="shared" si="73"/>
        <v>1018.7713045348189</v>
      </c>
      <c r="AL57" s="579">
        <f t="shared" si="68"/>
        <v>0.13699975855396082</v>
      </c>
      <c r="AM57" s="579">
        <f t="shared" si="69"/>
        <v>0.12732333571225452</v>
      </c>
      <c r="AP57" s="156"/>
      <c r="AQ57" s="140">
        <f t="shared" si="74"/>
        <v>0</v>
      </c>
      <c r="AR57" s="579">
        <f t="shared" si="70"/>
        <v>0</v>
      </c>
      <c r="AS57" s="579">
        <f t="shared" si="71"/>
        <v>0</v>
      </c>
    </row>
    <row r="58" spans="1:46" ht="15.75" hidden="1">
      <c r="B58" s="24"/>
      <c r="C58" s="25" t="s">
        <v>225</v>
      </c>
      <c r="D58" s="25"/>
      <c r="E58" s="83"/>
      <c r="F58" s="20"/>
      <c r="G58" s="74">
        <v>627.56104105339102</v>
      </c>
      <c r="H58" s="83"/>
      <c r="J58" s="188">
        <f t="shared" si="60"/>
        <v>8.7562508259488123E-2</v>
      </c>
      <c r="K58" s="57"/>
      <c r="L58" s="75">
        <v>8.4334929000852071E-2</v>
      </c>
      <c r="M58" s="75">
        <v>8.086270072799745E-2</v>
      </c>
      <c r="N58" s="143"/>
      <c r="P58" s="156">
        <f>129/126.9</f>
        <v>1.0165484633569739</v>
      </c>
      <c r="Q58" s="140">
        <f t="shared" si="75"/>
        <v>637.94621194552747</v>
      </c>
      <c r="R58" s="579">
        <f t="shared" si="61"/>
        <v>8.5730542483135677E-2</v>
      </c>
      <c r="S58" s="579">
        <f t="shared" si="62"/>
        <v>8.2200854167940651E-2</v>
      </c>
      <c r="V58" s="156">
        <f>(235.36+410.63)/(231.9+395.66)</f>
        <v>1.0293677098604117</v>
      </c>
      <c r="W58" s="140">
        <f t="shared" si="63"/>
        <v>645.99107162674488</v>
      </c>
      <c r="X58" s="579">
        <f t="shared" si="64"/>
        <v>8.6811652726847516E-2</v>
      </c>
      <c r="Y58" s="579">
        <f t="shared" si="65"/>
        <v>8.3237453061506567E-2</v>
      </c>
      <c r="AB58"/>
      <c r="AC58" s="140"/>
      <c r="AD58" s="156">
        <f>(414.06+237.08)/(410.63+235.36)</f>
        <v>1.007972259632502</v>
      </c>
      <c r="AE58" s="579">
        <f t="shared" si="72"/>
        <v>651.1410801700315</v>
      </c>
      <c r="AF58" s="579">
        <f t="shared" si="66"/>
        <v>8.7562508259488123E-2</v>
      </c>
      <c r="AG58" s="579">
        <f t="shared" si="67"/>
        <v>8.1377885279547021E-2</v>
      </c>
      <c r="AJ58" s="156">
        <f>AK58/AE58</f>
        <v>1.1482457838549551</v>
      </c>
      <c r="AK58" s="140">
        <f>429.65+318.02</f>
        <v>747.67</v>
      </c>
      <c r="AL58" s="579">
        <f t="shared" si="68"/>
        <v>0.10054328093272191</v>
      </c>
      <c r="AM58" s="579">
        <f t="shared" si="69"/>
        <v>9.3441813671272078E-2</v>
      </c>
      <c r="AP58" s="156"/>
      <c r="AQ58" s="140">
        <f t="shared" si="74"/>
        <v>0</v>
      </c>
      <c r="AR58" s="579">
        <f t="shared" si="70"/>
        <v>0</v>
      </c>
      <c r="AS58" s="579">
        <f t="shared" si="71"/>
        <v>0</v>
      </c>
    </row>
    <row r="59" spans="1:46" ht="15.75" hidden="1">
      <c r="B59" s="24"/>
      <c r="C59" s="25" t="s">
        <v>226</v>
      </c>
      <c r="D59" s="25"/>
      <c r="E59" s="83"/>
      <c r="F59" s="20"/>
      <c r="G59" s="74">
        <v>1050.7095511231341</v>
      </c>
      <c r="H59" s="83"/>
      <c r="J59" s="188">
        <f t="shared" si="60"/>
        <v>0.14595693238729782</v>
      </c>
      <c r="K59" s="57"/>
      <c r="L59" s="75">
        <v>0.14119983491286844</v>
      </c>
      <c r="M59" s="75">
        <v>0.13538637108814744</v>
      </c>
      <c r="N59" s="143"/>
      <c r="P59" s="156">
        <f>0.15/0.15</f>
        <v>1</v>
      </c>
      <c r="Q59" s="140">
        <f t="shared" si="75"/>
        <v>1050.7095511231341</v>
      </c>
      <c r="R59" s="579">
        <f t="shared" si="61"/>
        <v>0.14119983491286844</v>
      </c>
      <c r="S59" s="579">
        <f t="shared" si="62"/>
        <v>0.13538637108814744</v>
      </c>
      <c r="V59" s="156">
        <f>(641.66+445.17+0)/(605.54+397.47+47.7)</f>
        <v>1.0343767547658249</v>
      </c>
      <c r="W59" s="140">
        <f t="shared" si="63"/>
        <v>1086.829535692204</v>
      </c>
      <c r="X59" s="579">
        <f t="shared" si="64"/>
        <v>0.14605382701064307</v>
      </c>
      <c r="Y59" s="579">
        <f t="shared" si="65"/>
        <v>0.14004051516567964</v>
      </c>
      <c r="AB59"/>
      <c r="AC59" s="140"/>
      <c r="AD59" s="156">
        <f>(640.21+445.17)/(641.66+445.17)</f>
        <v>0.99866584470432374</v>
      </c>
      <c r="AE59" s="579">
        <f t="shared" si="72"/>
        <v>1085.3795363116628</v>
      </c>
      <c r="AF59" s="579">
        <f t="shared" si="66"/>
        <v>0.14595693238729782</v>
      </c>
      <c r="AG59" s="579">
        <f t="shared" si="67"/>
        <v>0.13564785586508232</v>
      </c>
      <c r="AJ59" s="156">
        <f>AK59/AE59</f>
        <v>1.0501764238833953</v>
      </c>
      <c r="AK59" s="140">
        <f>694.67+445.17</f>
        <v>1139.8399999999999</v>
      </c>
      <c r="AL59" s="579">
        <f t="shared" si="68"/>
        <v>0.15328052929548294</v>
      </c>
      <c r="AM59" s="579">
        <f t="shared" si="69"/>
        <v>0.1424541801798424</v>
      </c>
      <c r="AP59" s="156"/>
      <c r="AQ59" s="140">
        <f t="shared" si="74"/>
        <v>0</v>
      </c>
      <c r="AR59" s="579">
        <f t="shared" si="70"/>
        <v>0</v>
      </c>
      <c r="AS59" s="579">
        <f t="shared" si="71"/>
        <v>0</v>
      </c>
    </row>
    <row r="60" spans="1:46" ht="15.75" hidden="1">
      <c r="B60" s="26"/>
      <c r="C60" s="27" t="s">
        <v>6</v>
      </c>
      <c r="D60" s="27"/>
      <c r="E60" s="84"/>
      <c r="F60" s="85"/>
      <c r="G60" s="78">
        <v>38146.31066497595</v>
      </c>
      <c r="H60" s="90"/>
      <c r="J60" s="189">
        <f t="shared" si="60"/>
        <v>5.0904964058884712</v>
      </c>
      <c r="L60" s="80">
        <v>5.1263003773707716</v>
      </c>
      <c r="M60" s="80">
        <v>4.9152409110697768</v>
      </c>
      <c r="N60" s="202">
        <f>G60/$N$9</f>
        <v>2.596876907208499E-2</v>
      </c>
      <c r="P60" s="160"/>
      <c r="Q60" s="161">
        <f>SUM(Q54:Q59)</f>
        <v>38289.875349130889</v>
      </c>
      <c r="R60" s="594">
        <f t="shared" si="61"/>
        <v>5.1455933491347832</v>
      </c>
      <c r="S60" s="594">
        <f t="shared" si="62"/>
        <v>4.9337395547562046</v>
      </c>
      <c r="T60" s="415">
        <f>Q60/T$9</f>
        <v>2.4380165605568976E-2</v>
      </c>
      <c r="V60" s="160"/>
      <c r="W60" s="161">
        <f>SUM(W54:W59)</f>
        <v>38629.844583513004</v>
      </c>
      <c r="X60" s="594">
        <f t="shared" si="64"/>
        <v>5.191280189726359</v>
      </c>
      <c r="Y60" s="594">
        <f t="shared" si="65"/>
        <v>4.9775453818521997</v>
      </c>
      <c r="Z60" s="415">
        <f>W60/Z$9</f>
        <v>2.42357737619085E-2</v>
      </c>
      <c r="AB60"/>
      <c r="AC60" s="140"/>
      <c r="AD60" s="160"/>
      <c r="AE60" s="594">
        <f>SUM(AE54:AE59)</f>
        <v>37854.458423108437</v>
      </c>
      <c r="AF60" s="594">
        <f>AE60/$AB$6</f>
        <v>5.0904964058884712</v>
      </c>
      <c r="AG60" s="594">
        <f>AE60/($AB$7/100)</f>
        <v>4.7309498182339995</v>
      </c>
      <c r="AH60" s="415">
        <f>AE60/AH$9</f>
        <v>2.2506893626070317E-2</v>
      </c>
      <c r="AJ60" s="160"/>
      <c r="AK60" s="161">
        <f>SUM(AK54:AK59)</f>
        <v>40740.133264886812</v>
      </c>
      <c r="AL60" s="594">
        <f>AK60/$AB$6</f>
        <v>5.4785489107334042</v>
      </c>
      <c r="AM60" s="594">
        <f>AK60/($AB$7/100)</f>
        <v>5.091593806733381</v>
      </c>
      <c r="AN60" s="415">
        <f>AK60/AN$9</f>
        <v>2.0934932473164729E-2</v>
      </c>
      <c r="AP60" s="160"/>
      <c r="AQ60" s="161">
        <f>SUM(AQ54:AQ59)</f>
        <v>0</v>
      </c>
      <c r="AR60" s="594">
        <f>AQ60/$AB$6</f>
        <v>0</v>
      </c>
      <c r="AS60" s="594">
        <f>AQ60/($AB$7/100)</f>
        <v>0</v>
      </c>
      <c r="AT60" s="415">
        <f>AQ60/AT$9</f>
        <v>0</v>
      </c>
    </row>
    <row r="61" spans="1:46" ht="15.75" hidden="1">
      <c r="B61" s="34"/>
      <c r="C61" s="35"/>
      <c r="D61" s="35"/>
      <c r="E61" s="97"/>
      <c r="F61" s="98"/>
      <c r="G61" s="99"/>
      <c r="H61" s="100"/>
      <c r="J61" s="193"/>
      <c r="L61" s="101"/>
      <c r="M61" s="101"/>
      <c r="N61" s="99"/>
      <c r="AB61"/>
    </row>
    <row r="62" spans="1:46" ht="15.75" hidden="1">
      <c r="A62" s="21"/>
      <c r="B62" s="17">
        <v>6</v>
      </c>
      <c r="C62" s="18" t="s">
        <v>17</v>
      </c>
      <c r="D62" s="18"/>
      <c r="E62" s="18"/>
      <c r="F62" s="18"/>
      <c r="G62" s="68" t="s">
        <v>67</v>
      </c>
      <c r="H62" s="92"/>
      <c r="J62" s="186" t="s">
        <v>88</v>
      </c>
      <c r="L62" s="69" t="s">
        <v>213</v>
      </c>
      <c r="M62" s="69" t="s">
        <v>214</v>
      </c>
      <c r="N62" s="141" t="s">
        <v>85</v>
      </c>
      <c r="Q62" s="69" t="s">
        <v>67</v>
      </c>
      <c r="R62" s="69" t="s">
        <v>213</v>
      </c>
      <c r="S62" s="69" t="s">
        <v>214</v>
      </c>
      <c r="T62" s="141" t="s">
        <v>85</v>
      </c>
      <c r="W62" s="69" t="s">
        <v>67</v>
      </c>
      <c r="X62" s="69" t="s">
        <v>213</v>
      </c>
      <c r="Y62" s="69" t="s">
        <v>214</v>
      </c>
      <c r="Z62" s="141" t="s">
        <v>85</v>
      </c>
      <c r="AB62"/>
      <c r="AE62" s="69" t="s">
        <v>67</v>
      </c>
      <c r="AF62" s="69" t="s">
        <v>213</v>
      </c>
      <c r="AG62" s="69" t="s">
        <v>214</v>
      </c>
      <c r="AH62" s="141" t="s">
        <v>85</v>
      </c>
      <c r="AK62" s="69" t="s">
        <v>67</v>
      </c>
      <c r="AL62" s="69" t="s">
        <v>213</v>
      </c>
      <c r="AM62" s="69" t="s">
        <v>214</v>
      </c>
      <c r="AN62" s="141" t="s">
        <v>85</v>
      </c>
      <c r="AQ62" s="69" t="s">
        <v>67</v>
      </c>
      <c r="AR62" s="69" t="s">
        <v>213</v>
      </c>
      <c r="AS62" s="69" t="s">
        <v>214</v>
      </c>
      <c r="AT62" s="141" t="s">
        <v>85</v>
      </c>
    </row>
    <row r="63" spans="1:46" ht="15.75" hidden="1">
      <c r="B63" s="22"/>
      <c r="C63" s="23" t="s">
        <v>125</v>
      </c>
      <c r="D63" s="23"/>
      <c r="E63" s="102"/>
      <c r="F63" s="81"/>
      <c r="G63" s="72">
        <v>7481.9159732449853</v>
      </c>
      <c r="H63" s="83"/>
      <c r="J63" s="187">
        <f t="shared" ref="J63:J66" si="76">IF($D$2=$L$2,L63,IF($D$2=$M$2,M63,IF($D$2=$N$2,N63,IF($D$2=$R$2,R63,IF($D$2=$S$2,S63,IF($D$2=$T$2,T63,IF($D$2=$X$2,X63,IF($D$2=$Y$2,Y63,IF($D$2=$Z$2,Z63,IF($D$2=$AF$2,AF63,IF($D$2=$AG$2,AG63,IF($D$2=$AH$2,AH63,IF($D$2=$AL$2,AL63,IF($D$2=$AM$2,AM63,IF($D$2=$AN$2,AN63,IF($D$2=$AR$2,AR63,IF($D$2=$AS$2,AS63,IF($D$2=$AT$2,AT63))))))))))))))))))</f>
        <v>0.95031400024205581</v>
      </c>
      <c r="L63" s="73">
        <v>1.005458929277725</v>
      </c>
      <c r="M63" s="73">
        <v>0.96406228659605508</v>
      </c>
      <c r="N63" s="142"/>
      <c r="P63" s="156">
        <v>1.1599999999999999</v>
      </c>
      <c r="Q63" s="140">
        <f>G63*P63</f>
        <v>8679.0225289641821</v>
      </c>
      <c r="R63" s="579">
        <f>Q63/$E$6</f>
        <v>1.1663323579621607</v>
      </c>
      <c r="S63" s="579">
        <f>Q63/($E$7/100)</f>
        <v>1.1183122524514237</v>
      </c>
      <c r="V63" s="156">
        <v>1.1267</v>
      </c>
      <c r="W63" s="140">
        <f>G63*V63</f>
        <v>8429.8747270551248</v>
      </c>
      <c r="X63" s="579">
        <f>W63/$E$6</f>
        <v>1.1328505756172127</v>
      </c>
      <c r="Y63" s="579">
        <f>W63/($E$7/100)</f>
        <v>1.0862089783077753</v>
      </c>
      <c r="AB63"/>
      <c r="AD63" s="156">
        <f>7066.82/W63</f>
        <v>0.83830664497534091</v>
      </c>
      <c r="AE63" s="579">
        <f>W63*AD63</f>
        <v>7066.82</v>
      </c>
      <c r="AF63" s="579">
        <f t="shared" ref="AF63:AF65" si="77">AE63/$AB$6</f>
        <v>0.95031400024205581</v>
      </c>
      <c r="AG63" s="579">
        <f t="shared" ref="AG63:AG65" si="78">AE63/($AB$7/100)</f>
        <v>0.88319242137362597</v>
      </c>
      <c r="AJ63" s="156">
        <v>1.1850000000000001</v>
      </c>
      <c r="AK63" s="140">
        <f>AE63*AJ63</f>
        <v>8374.1816999999992</v>
      </c>
      <c r="AL63" s="579">
        <f t="shared" ref="AL63:AL65" si="79">AK63/$AB$6</f>
        <v>1.1261220902868361</v>
      </c>
      <c r="AM63" s="579">
        <f t="shared" ref="AM63:AM65" si="80">AK63/($AB$7/100)</f>
        <v>1.0465830193277468</v>
      </c>
      <c r="AP63" s="156"/>
      <c r="AQ63" s="140">
        <f>AK63*AP63</f>
        <v>0</v>
      </c>
      <c r="AR63" s="579">
        <f t="shared" ref="AR63:AR65" si="81">AQ63/$AB$6</f>
        <v>0</v>
      </c>
      <c r="AS63" s="579">
        <f t="shared" ref="AS63:AS65" si="82">AQ63/($AB$7/100)</f>
        <v>0</v>
      </c>
    </row>
    <row r="64" spans="1:46" ht="15.75" hidden="1">
      <c r="B64" s="24"/>
      <c r="C64" s="44" t="s">
        <v>126</v>
      </c>
      <c r="D64" s="44"/>
      <c r="E64" s="64"/>
      <c r="F64" s="83"/>
      <c r="G64" s="74">
        <v>4455.8213510143742</v>
      </c>
      <c r="H64" s="83"/>
      <c r="J64" s="188">
        <f t="shared" si="76"/>
        <v>0.56966762976382013</v>
      </c>
      <c r="L64" s="75">
        <v>0.59879653562864754</v>
      </c>
      <c r="M64" s="75">
        <v>0.5741429515759926</v>
      </c>
      <c r="N64" s="143"/>
      <c r="P64" s="156">
        <v>1.1676</v>
      </c>
      <c r="Q64" s="140">
        <f t="shared" ref="Q64:Q65" si="83">G64*P64</f>
        <v>5202.6170094443833</v>
      </c>
      <c r="R64" s="579">
        <f>Q64/$E$6</f>
        <v>0.69915483500000886</v>
      </c>
      <c r="S64" s="579">
        <f>Q64/($E$7/100)</f>
        <v>0.67036931026012891</v>
      </c>
      <c r="V64" s="156">
        <v>1.1341000000000001</v>
      </c>
      <c r="W64" s="140">
        <f>G64*V64</f>
        <v>5053.3469941854019</v>
      </c>
      <c r="X64" s="579">
        <f>W64/$E$6</f>
        <v>0.67909515105644924</v>
      </c>
      <c r="Y64" s="579">
        <f>W64/($E$7/100)</f>
        <v>0.65113552138233322</v>
      </c>
      <c r="AB64"/>
      <c r="AD64" s="156">
        <f>4236.18/5053.3</f>
        <v>0.83829972493222249</v>
      </c>
      <c r="AE64" s="579">
        <f>W64*AD64</f>
        <v>4236.2193952126954</v>
      </c>
      <c r="AF64" s="579">
        <f t="shared" si="77"/>
        <v>0.56966762976382013</v>
      </c>
      <c r="AG64" s="579">
        <f t="shared" si="78"/>
        <v>0.52943146494856497</v>
      </c>
      <c r="AJ64" s="156">
        <v>1.1850000000000001</v>
      </c>
      <c r="AK64" s="140">
        <f>AE64*AJ64</f>
        <v>5019.9199833270441</v>
      </c>
      <c r="AL64" s="579">
        <f t="shared" si="79"/>
        <v>0.67505614127012681</v>
      </c>
      <c r="AM64" s="579">
        <f t="shared" si="80"/>
        <v>0.62737628596404948</v>
      </c>
      <c r="AP64" s="156"/>
      <c r="AQ64" s="140">
        <f>AK64*AP64</f>
        <v>0</v>
      </c>
      <c r="AR64" s="579">
        <f t="shared" si="81"/>
        <v>0</v>
      </c>
      <c r="AS64" s="579">
        <f t="shared" si="82"/>
        <v>0</v>
      </c>
    </row>
    <row r="65" spans="1:46" ht="15.75" hidden="1">
      <c r="B65" s="24"/>
      <c r="C65" s="44" t="s">
        <v>40</v>
      </c>
      <c r="D65" s="44"/>
      <c r="E65" s="64"/>
      <c r="F65" s="83"/>
      <c r="G65" s="74">
        <v>4984.8662872872019</v>
      </c>
      <c r="H65" s="83"/>
      <c r="J65" s="188">
        <f t="shared" si="76"/>
        <v>0.60265858020789909</v>
      </c>
      <c r="L65" s="75">
        <v>0.66989235614666054</v>
      </c>
      <c r="M65" s="75">
        <v>0.64231162291620825</v>
      </c>
      <c r="N65" s="143"/>
      <c r="P65" s="156">
        <v>1.1141000000000001</v>
      </c>
      <c r="Q65" s="140">
        <f t="shared" si="83"/>
        <v>5553.6395306666718</v>
      </c>
      <c r="R65" s="579">
        <f>Q65/$E$6</f>
        <v>0.74632707398299447</v>
      </c>
      <c r="S65" s="579">
        <f>Q65/($E$7/100)</f>
        <v>0.71559937909094751</v>
      </c>
      <c r="V65" s="156">
        <v>1.0602</v>
      </c>
      <c r="W65" s="140">
        <f>G65*V65</f>
        <v>5284.9552377818918</v>
      </c>
      <c r="X65" s="579">
        <f>W65/$E$6</f>
        <v>0.71021987598668945</v>
      </c>
      <c r="Y65" s="579">
        <f>W65/($E$7/100)</f>
        <v>0.68097878261576394</v>
      </c>
      <c r="AB65"/>
      <c r="AD65" s="156">
        <f>4481.55/W65</f>
        <v>0.84798258421596728</v>
      </c>
      <c r="AE65" s="579">
        <f>W65*AD65</f>
        <v>4481.55</v>
      </c>
      <c r="AF65" s="579">
        <f t="shared" si="77"/>
        <v>0.60265858020789909</v>
      </c>
      <c r="AG65" s="579">
        <f t="shared" si="78"/>
        <v>0.56009223328271751</v>
      </c>
      <c r="AJ65" s="156">
        <v>1.2888999999999999</v>
      </c>
      <c r="AK65" s="140">
        <f>AE65*AJ65</f>
        <v>5776.2697950000002</v>
      </c>
      <c r="AL65" s="579">
        <f t="shared" si="79"/>
        <v>0.7767666440299611</v>
      </c>
      <c r="AM65" s="579">
        <f t="shared" si="80"/>
        <v>0.72190287947809462</v>
      </c>
      <c r="AP65" s="156"/>
      <c r="AQ65" s="140">
        <f>AK65*AP65</f>
        <v>0</v>
      </c>
      <c r="AR65" s="579">
        <f t="shared" si="81"/>
        <v>0</v>
      </c>
      <c r="AS65" s="579">
        <f t="shared" si="82"/>
        <v>0</v>
      </c>
    </row>
    <row r="66" spans="1:46" ht="15.75" hidden="1">
      <c r="B66" s="31"/>
      <c r="C66" s="27" t="s">
        <v>6</v>
      </c>
      <c r="D66" s="27"/>
      <c r="E66" s="103"/>
      <c r="F66" s="103"/>
      <c r="G66" s="78">
        <v>16922.603611546561</v>
      </c>
      <c r="H66" s="104"/>
      <c r="J66" s="189">
        <f t="shared" si="76"/>
        <v>2.1226402102137749</v>
      </c>
      <c r="L66" s="80">
        <v>2.2741478210530328</v>
      </c>
      <c r="M66" s="80">
        <v>2.1805168610882557</v>
      </c>
      <c r="N66" s="202">
        <f>G66/$N$9</f>
        <v>1.1520358787676254E-2</v>
      </c>
      <c r="P66" s="160"/>
      <c r="Q66" s="161">
        <f>SUM(Q63:Q65)</f>
        <v>19435.279069075237</v>
      </c>
      <c r="R66" s="594">
        <f>Q66/$E$6</f>
        <v>2.6118142669451641</v>
      </c>
      <c r="S66" s="594">
        <f>Q66/($E$7/100)</f>
        <v>2.5042809418025005</v>
      </c>
      <c r="T66" s="415">
        <f>Q66/T$9</f>
        <v>1.2374950766332488E-2</v>
      </c>
      <c r="V66" s="160"/>
      <c r="W66" s="161">
        <f>SUM(W63:W65)</f>
        <v>18768.176959022418</v>
      </c>
      <c r="X66" s="594">
        <f>W66/$E$6</f>
        <v>2.5221656026603512</v>
      </c>
      <c r="Y66" s="594">
        <f>W66/($E$7/100)</f>
        <v>2.4183232823058725</v>
      </c>
      <c r="Z66" s="415">
        <f>W66/Z$9</f>
        <v>1.177486722005771E-2</v>
      </c>
      <c r="AB66"/>
      <c r="AD66" s="160"/>
      <c r="AE66" s="594">
        <f>SUM(AE63:AE65)</f>
        <v>15784.589395212693</v>
      </c>
      <c r="AF66" s="594">
        <f>AE66/$AB$6</f>
        <v>2.1226402102137749</v>
      </c>
      <c r="AG66" s="594">
        <f>AE66/($AB$7/100)</f>
        <v>1.9727161196049083</v>
      </c>
      <c r="AH66" s="415">
        <f>AE66/AH$9</f>
        <v>9.3849466944791442E-3</v>
      </c>
      <c r="AJ66" s="160"/>
      <c r="AK66" s="161">
        <f>SUM(AK63:AK65)</f>
        <v>19170.371478327044</v>
      </c>
      <c r="AL66" s="594">
        <f>AK66/$AB$6</f>
        <v>2.5779448755869243</v>
      </c>
      <c r="AM66" s="594">
        <f>AK66/($AB$7/100)</f>
        <v>2.3958621847698911</v>
      </c>
      <c r="AN66" s="415">
        <f>AK66/AN$9</f>
        <v>9.8509847715731284E-3</v>
      </c>
      <c r="AP66" s="160"/>
      <c r="AQ66" s="161">
        <f>SUM(AQ63:AQ65)</f>
        <v>0</v>
      </c>
      <c r="AR66" s="594">
        <f>AQ66/$AB$6</f>
        <v>0</v>
      </c>
      <c r="AS66" s="594">
        <f>AQ66/($AB$7/100)</f>
        <v>0</v>
      </c>
      <c r="AT66" s="415">
        <f>AQ66/AT$9</f>
        <v>0</v>
      </c>
    </row>
    <row r="67" spans="1:46" ht="15.75" hidden="1">
      <c r="B67" s="28"/>
      <c r="C67" s="29"/>
      <c r="D67" s="29"/>
      <c r="E67" s="29"/>
      <c r="F67" s="29"/>
      <c r="G67" s="29"/>
      <c r="H67" s="91"/>
      <c r="J67" s="190"/>
      <c r="L67" s="29"/>
      <c r="M67" s="29"/>
      <c r="N67" s="145"/>
      <c r="AB67"/>
    </row>
    <row r="68" spans="1:46" ht="15.75" hidden="1">
      <c r="A68" s="21"/>
      <c r="B68" s="17">
        <v>7</v>
      </c>
      <c r="C68" s="18" t="s">
        <v>16</v>
      </c>
      <c r="D68" s="18"/>
      <c r="E68" s="18"/>
      <c r="F68" s="18"/>
      <c r="G68" s="68" t="s">
        <v>67</v>
      </c>
      <c r="H68" s="92"/>
      <c r="J68" s="186" t="s">
        <v>88</v>
      </c>
      <c r="L68" s="69" t="s">
        <v>213</v>
      </c>
      <c r="M68" s="69" t="s">
        <v>214</v>
      </c>
      <c r="N68" s="141" t="s">
        <v>85</v>
      </c>
      <c r="Q68" s="69" t="s">
        <v>67</v>
      </c>
      <c r="R68" s="69" t="s">
        <v>213</v>
      </c>
      <c r="S68" s="69" t="s">
        <v>214</v>
      </c>
      <c r="T68" s="141" t="s">
        <v>85</v>
      </c>
      <c r="W68" s="69" t="s">
        <v>67</v>
      </c>
      <c r="X68" s="69" t="s">
        <v>213</v>
      </c>
      <c r="Y68" s="69" t="s">
        <v>214</v>
      </c>
      <c r="Z68" s="141" t="s">
        <v>85</v>
      </c>
      <c r="AB68"/>
      <c r="AE68" s="69" t="s">
        <v>67</v>
      </c>
      <c r="AF68" s="69" t="s">
        <v>213</v>
      </c>
      <c r="AG68" s="69" t="s">
        <v>214</v>
      </c>
      <c r="AH68" s="141" t="s">
        <v>85</v>
      </c>
      <c r="AK68" s="69" t="s">
        <v>67</v>
      </c>
      <c r="AL68" s="69" t="s">
        <v>213</v>
      </c>
      <c r="AM68" s="69" t="s">
        <v>214</v>
      </c>
      <c r="AN68" s="141" t="s">
        <v>85</v>
      </c>
      <c r="AQ68" s="69" t="s">
        <v>67</v>
      </c>
      <c r="AR68" s="69" t="s">
        <v>213</v>
      </c>
      <c r="AS68" s="69" t="s">
        <v>214</v>
      </c>
      <c r="AT68" s="141" t="s">
        <v>85</v>
      </c>
    </row>
    <row r="69" spans="1:46" ht="15.75" hidden="1">
      <c r="B69" s="22"/>
      <c r="C69" s="30" t="s">
        <v>227</v>
      </c>
      <c r="D69" s="30"/>
      <c r="E69" s="102"/>
      <c r="F69" s="81"/>
      <c r="G69" s="72">
        <v>25569.333010090195</v>
      </c>
      <c r="H69" s="83"/>
      <c r="J69" s="187">
        <f t="shared" ref="J69:J70" si="84">IF($D$2=$L$2,L69,IF($D$2=$M$2,M69,IF($D$2=$N$2,N69,IF($D$2=$R$2,R69,IF($D$2=$S$2,S69,IF($D$2=$T$2,T69,IF($D$2=$X$2,X69,IF($D$2=$Y$2,Y69,IF($D$2=$Z$2,Z69,IF($D$2=$AF$2,AF69,IF($D$2=$AG$2,AG69,IF($D$2=$AH$2,AH69,IF($D$2=$AL$2,AL69,IF($D$2=$AM$2,AM69,IF($D$2=$AN$2,AN69,IF($D$2=$AR$2,AR69,IF($D$2=$AS$2,AS69,IF($D$2=$AT$2,AT69))))))))))))))))))</f>
        <v>3.6591760676940126</v>
      </c>
      <c r="L69" s="73">
        <v>3.4361404595567313</v>
      </c>
      <c r="M69" s="73">
        <v>3.2946680685258216</v>
      </c>
      <c r="N69" s="142"/>
      <c r="P69" s="156">
        <f>143.4/140.2</f>
        <v>1.0228245363766049</v>
      </c>
      <c r="Q69" s="140">
        <f>G69*P69</f>
        <v>26152.941181504521</v>
      </c>
      <c r="R69" s="579">
        <f>Q69/$E$6</f>
        <v>3.5145687724710077</v>
      </c>
      <c r="S69" s="579">
        <f>Q69/($E$7/100)</f>
        <v>3.3698673397047272</v>
      </c>
      <c r="V69" s="156">
        <f>147.5/140.2</f>
        <v>1.0520684736091299</v>
      </c>
      <c r="W69" s="140">
        <f>G69*V69</f>
        <v>26900.689151129132</v>
      </c>
      <c r="X69" s="579">
        <f>W69/$E$6</f>
        <v>3.6150550483924251</v>
      </c>
      <c r="Y69" s="579">
        <f>W69/($E$7/100)</f>
        <v>3.4662164059027014</v>
      </c>
      <c r="AB69"/>
      <c r="AD69" s="156">
        <f>149.2/147.5</f>
        <v>1.0115254237288134</v>
      </c>
      <c r="AE69" s="579">
        <f>W69*AD69</f>
        <v>27210.730992192988</v>
      </c>
      <c r="AF69" s="579">
        <f t="shared" ref="AF69" si="85">AE69/$AB$6</f>
        <v>3.6591760676940126</v>
      </c>
      <c r="AG69" s="579">
        <f t="shared" ref="AG69" si="86">AE69/($AB$7/100)</f>
        <v>3.4007249926192116</v>
      </c>
      <c r="AJ69" s="156">
        <f>155.6/149.2</f>
        <v>1.0428954423592494</v>
      </c>
      <c r="AK69" s="140">
        <f>AE69*AJ69</f>
        <v>28377.947335021643</v>
      </c>
      <c r="AL69" s="579">
        <f t="shared" ref="AL69" si="87">AK69/$AB$6</f>
        <v>3.816138043788126</v>
      </c>
      <c r="AM69" s="579">
        <f t="shared" ref="AM69" si="88">AK69/($AB$7/100)</f>
        <v>3.5466005955197675</v>
      </c>
      <c r="AP69" s="156"/>
      <c r="AQ69" s="140">
        <f>AK69*AP69</f>
        <v>0</v>
      </c>
      <c r="AR69" s="579">
        <f t="shared" ref="AR69" si="89">AQ69/$AB$6</f>
        <v>0</v>
      </c>
      <c r="AS69" s="579">
        <f t="shared" ref="AS69" si="90">AQ69/($AB$7/100)</f>
        <v>0</v>
      </c>
    </row>
    <row r="70" spans="1:46" ht="15.75" hidden="1">
      <c r="B70" s="26"/>
      <c r="C70" s="27" t="s">
        <v>6</v>
      </c>
      <c r="D70" s="27"/>
      <c r="E70" s="76"/>
      <c r="F70" s="77"/>
      <c r="G70" s="78">
        <v>25569.333010090195</v>
      </c>
      <c r="H70" s="104"/>
      <c r="J70" s="189">
        <f t="shared" si="84"/>
        <v>3.6591760676940126</v>
      </c>
      <c r="L70" s="80">
        <v>3.4361404595567313</v>
      </c>
      <c r="M70" s="80">
        <v>3.2946680685258216</v>
      </c>
      <c r="N70" s="202">
        <f>G70/$N$9</f>
        <v>1.7406771262834801E-2</v>
      </c>
      <c r="P70" s="160"/>
      <c r="Q70" s="161">
        <f>SUM(Q69:Q69)</f>
        <v>26152.941181504521</v>
      </c>
      <c r="R70" s="594">
        <f>Q70/$E$6</f>
        <v>3.5145687724710077</v>
      </c>
      <c r="S70" s="594">
        <f>Q70/($E$7/100)</f>
        <v>3.3698673397047272</v>
      </c>
      <c r="T70" s="415">
        <f>Q70/T$9</f>
        <v>1.6652262021329814E-2</v>
      </c>
      <c r="V70" s="160"/>
      <c r="W70" s="161">
        <f>SUM(W69:W69)</f>
        <v>26900.689151129132</v>
      </c>
      <c r="X70" s="594">
        <f>W70/$E$6</f>
        <v>3.6150550483924251</v>
      </c>
      <c r="Y70" s="594">
        <f>W70/($E$7/100)</f>
        <v>3.4662164059027014</v>
      </c>
      <c r="Z70" s="415">
        <f>W70/Z$9</f>
        <v>1.6877081006544985E-2</v>
      </c>
      <c r="AB70"/>
      <c r="AD70" s="160"/>
      <c r="AE70" s="594">
        <f>SUM(AE69:AE69)</f>
        <v>27210.730992192988</v>
      </c>
      <c r="AF70" s="594">
        <f>AE70/$AB$6</f>
        <v>3.6591760676940126</v>
      </c>
      <c r="AG70" s="594">
        <f>AE70/($AB$7/100)</f>
        <v>3.4007249926192116</v>
      </c>
      <c r="AH70" s="415">
        <f>AE70/AH$9</f>
        <v>1.6178517760936772E-2</v>
      </c>
      <c r="AJ70" s="160"/>
      <c r="AK70" s="161">
        <f>SUM(AK69:AK69)</f>
        <v>28377.947335021643</v>
      </c>
      <c r="AL70" s="594">
        <f>AK70/$AB$6</f>
        <v>3.816138043788126</v>
      </c>
      <c r="AM70" s="594">
        <f>AK70/($AB$7/100)</f>
        <v>3.5466005955197675</v>
      </c>
      <c r="AN70" s="415">
        <f>AK70/AN$9</f>
        <v>1.4582436619021543E-2</v>
      </c>
      <c r="AP70" s="160"/>
      <c r="AQ70" s="161">
        <f>SUM(AQ69:AQ69)</f>
        <v>0</v>
      </c>
      <c r="AR70" s="594">
        <f>AQ70/$AB$6</f>
        <v>0</v>
      </c>
      <c r="AS70" s="594">
        <f>AQ70/($AB$7/100)</f>
        <v>0</v>
      </c>
      <c r="AT70" s="415">
        <f>AQ70/AT$9</f>
        <v>0</v>
      </c>
    </row>
    <row r="71" spans="1:46" ht="15.75" hidden="1">
      <c r="B71" s="28"/>
      <c r="C71" s="29"/>
      <c r="D71" s="29"/>
      <c r="E71" s="29"/>
      <c r="F71" s="29"/>
      <c r="G71" s="29"/>
      <c r="H71" s="91"/>
      <c r="J71" s="190"/>
      <c r="L71" s="29"/>
      <c r="M71" s="29"/>
      <c r="N71" s="145"/>
      <c r="AB71"/>
    </row>
    <row r="72" spans="1:46" ht="15.75" hidden="1">
      <c r="A72" s="21"/>
      <c r="B72" s="17">
        <v>8</v>
      </c>
      <c r="C72" s="18" t="s">
        <v>18</v>
      </c>
      <c r="D72" s="18"/>
      <c r="E72" s="18"/>
      <c r="F72" s="18"/>
      <c r="G72" s="68" t="s">
        <v>67</v>
      </c>
      <c r="H72" s="92"/>
      <c r="J72" s="186" t="s">
        <v>88</v>
      </c>
      <c r="L72" s="69" t="s">
        <v>213</v>
      </c>
      <c r="M72" s="69" t="s">
        <v>214</v>
      </c>
      <c r="N72" s="141" t="s">
        <v>85</v>
      </c>
      <c r="Q72" s="69" t="s">
        <v>67</v>
      </c>
      <c r="R72" s="69" t="s">
        <v>213</v>
      </c>
      <c r="S72" s="69" t="s">
        <v>214</v>
      </c>
      <c r="T72" s="141" t="s">
        <v>85</v>
      </c>
      <c r="W72" s="69" t="s">
        <v>67</v>
      </c>
      <c r="X72" s="69" t="s">
        <v>213</v>
      </c>
      <c r="Y72" s="69" t="s">
        <v>214</v>
      </c>
      <c r="Z72" s="141" t="s">
        <v>85</v>
      </c>
      <c r="AB72"/>
      <c r="AE72" s="69" t="s">
        <v>67</v>
      </c>
      <c r="AF72" s="69" t="s">
        <v>213</v>
      </c>
      <c r="AG72" s="69" t="s">
        <v>214</v>
      </c>
      <c r="AH72" s="141" t="s">
        <v>85</v>
      </c>
      <c r="AK72" s="69" t="s">
        <v>67</v>
      </c>
      <c r="AL72" s="69" t="s">
        <v>213</v>
      </c>
      <c r="AM72" s="69" t="s">
        <v>214</v>
      </c>
      <c r="AN72" s="141" t="s">
        <v>85</v>
      </c>
      <c r="AQ72" s="69" t="s">
        <v>67</v>
      </c>
      <c r="AR72" s="69" t="s">
        <v>213</v>
      </c>
      <c r="AS72" s="69" t="s">
        <v>214</v>
      </c>
      <c r="AT72" s="141" t="s">
        <v>85</v>
      </c>
    </row>
    <row r="73" spans="1:46" ht="15.75" hidden="1">
      <c r="B73" s="22"/>
      <c r="C73" s="30" t="s">
        <v>18</v>
      </c>
      <c r="D73" s="30"/>
      <c r="E73" s="105"/>
      <c r="F73" s="71"/>
      <c r="G73" s="72">
        <v>25203.370312686533</v>
      </c>
      <c r="H73" s="83"/>
      <c r="J73" s="187">
        <f t="shared" ref="J73:J75" si="91">IF($D$2=$L$2,L73,IF($D$2=$M$2,M73,IF($D$2=$N$2,N73,IF($D$2=$R$2,R73,IF($D$2=$S$2,S73,IF($D$2=$T$2,T73,IF($D$2=$X$2,X73,IF($D$2=$Y$2,Y73,IF($D$2=$Z$2,Z73,IF($D$2=$AF$2,AF73,IF($D$2=$AG$2,AG73,IF($D$2=$AH$2,AH73,IF($D$2=$AL$2,AL73,IF($D$2=$AM$2,AM73,IF($D$2=$AN$2,AN73,IF($D$2=$AR$2,AR73,IF($D$2=$AS$2,AS73,IF($D$2=$AT$2,AT73))))))))))))))))))</f>
        <v>3.5123408582284328</v>
      </c>
      <c r="L73" s="73">
        <v>3.3869604817004064</v>
      </c>
      <c r="M73" s="73">
        <v>3.2475129232222026</v>
      </c>
      <c r="N73" s="142"/>
      <c r="P73" s="156">
        <v>1.0167999999999999</v>
      </c>
      <c r="Q73" s="140">
        <f>G73*P73</f>
        <v>25626.786933939664</v>
      </c>
      <c r="R73" s="579">
        <f>Q73/$E$6</f>
        <v>3.4438614177929727</v>
      </c>
      <c r="S73" s="579">
        <f>Q73/($E$7/100)</f>
        <v>3.3020711403323348</v>
      </c>
      <c r="V73" s="156">
        <f>26118.82/25203.37</f>
        <v>1.0363225235355431</v>
      </c>
      <c r="W73" s="140">
        <f>G73*V73</f>
        <v>26118.820324044096</v>
      </c>
      <c r="X73" s="579">
        <f>W73/$E$6</f>
        <v>3.5099834335109232</v>
      </c>
      <c r="Y73" s="579">
        <f>W73/($E$7/100)</f>
        <v>3.3654707878079209</v>
      </c>
      <c r="AB73"/>
      <c r="AD73" s="156">
        <v>1</v>
      </c>
      <c r="AE73" s="579">
        <f>W73*AD73</f>
        <v>26118.820324044096</v>
      </c>
      <c r="AF73" s="579">
        <f t="shared" ref="AF73:AF74" si="92">AE73/$AB$6</f>
        <v>3.5123408582284328</v>
      </c>
      <c r="AG73" s="579">
        <f t="shared" ref="AG73:AG74" si="93">AE73/($AB$7/100)</f>
        <v>3.2642608932186161</v>
      </c>
      <c r="AJ73" s="156">
        <v>1.0098</v>
      </c>
      <c r="AK73" s="140">
        <f>AE73*AJ73</f>
        <v>26374.78476321973</v>
      </c>
      <c r="AL73" s="579">
        <f t="shared" ref="AL73:AL74" si="94">AK73/$AB$6</f>
        <v>3.5467617986390718</v>
      </c>
      <c r="AM73" s="579">
        <f t="shared" ref="AM73:AM74" si="95">AK73/($AB$7/100)</f>
        <v>3.2962506499721589</v>
      </c>
      <c r="AP73" s="156"/>
      <c r="AQ73" s="140">
        <f>AK73*AP73</f>
        <v>0</v>
      </c>
      <c r="AR73" s="579">
        <f t="shared" ref="AR73:AR74" si="96">AQ73/$AB$6</f>
        <v>0</v>
      </c>
      <c r="AS73" s="579">
        <f t="shared" ref="AS73:AS74" si="97">AQ73/($AB$7/100)</f>
        <v>0</v>
      </c>
    </row>
    <row r="74" spans="1:46" ht="15.75" hidden="1">
      <c r="B74" s="24"/>
      <c r="C74" s="25"/>
      <c r="D74" s="25"/>
      <c r="E74" s="106"/>
      <c r="F74" s="603"/>
      <c r="G74" s="74"/>
      <c r="H74" s="83"/>
      <c r="J74" s="188"/>
      <c r="L74" s="75"/>
      <c r="M74" s="75"/>
      <c r="N74" s="143"/>
      <c r="P74" s="156"/>
      <c r="Q74" s="140"/>
      <c r="R74" s="579"/>
      <c r="S74" s="579"/>
      <c r="V74" s="156"/>
      <c r="W74" s="140"/>
      <c r="X74" s="579"/>
      <c r="Y74" s="579"/>
      <c r="AB74" s="156" t="s">
        <v>376</v>
      </c>
      <c r="AC74" s="140"/>
      <c r="AE74" s="614">
        <v>338.82</v>
      </c>
      <c r="AF74" s="579">
        <f t="shared" si="92"/>
        <v>4.5562981590307007E-2</v>
      </c>
      <c r="AG74" s="579">
        <f t="shared" si="93"/>
        <v>4.2344825000468662E-2</v>
      </c>
      <c r="AJ74" s="156">
        <v>1.0098</v>
      </c>
      <c r="AK74" s="140">
        <f>AE74*AJ74</f>
        <v>342.14043600000002</v>
      </c>
      <c r="AL74" s="579">
        <f t="shared" si="94"/>
        <v>4.6009498809892017E-2</v>
      </c>
      <c r="AM74" s="579">
        <f t="shared" si="95"/>
        <v>4.2759804285473262E-2</v>
      </c>
      <c r="AP74" s="156"/>
      <c r="AQ74" s="140"/>
      <c r="AR74" s="579">
        <f t="shared" si="96"/>
        <v>0</v>
      </c>
      <c r="AS74" s="579">
        <f t="shared" si="97"/>
        <v>0</v>
      </c>
    </row>
    <row r="75" spans="1:46" ht="15.75" hidden="1">
      <c r="B75" s="26"/>
      <c r="C75" s="27" t="s">
        <v>6</v>
      </c>
      <c r="D75" s="27"/>
      <c r="E75" s="76"/>
      <c r="F75" s="77"/>
      <c r="G75" s="78">
        <v>25203.370312686533</v>
      </c>
      <c r="H75" s="104"/>
      <c r="J75" s="189">
        <f t="shared" si="91"/>
        <v>3.5579038398187399</v>
      </c>
      <c r="L75" s="80">
        <v>3.3869604817004064</v>
      </c>
      <c r="M75" s="80">
        <v>3.2475129232222026</v>
      </c>
      <c r="N75" s="202">
        <f>G75/$N$9</f>
        <v>1.7157635747179319E-2</v>
      </c>
      <c r="P75" s="160"/>
      <c r="Q75" s="161">
        <f>SUM(Q73:Q73)</f>
        <v>25626.786933939664</v>
      </c>
      <c r="R75" s="594">
        <f>Q75/$E$6</f>
        <v>3.4438614177929727</v>
      </c>
      <c r="S75" s="594">
        <f>Q75/($E$7/100)</f>
        <v>3.3020711403323348</v>
      </c>
      <c r="T75" s="415">
        <f>Q75/T$9</f>
        <v>1.6317245843482792E-2</v>
      </c>
      <c r="V75" s="160"/>
      <c r="W75" s="161">
        <f>SUM(W73:W73)</f>
        <v>26118.820324044096</v>
      </c>
      <c r="X75" s="594">
        <f>W75/$E$6</f>
        <v>3.5099834335109232</v>
      </c>
      <c r="Y75" s="594">
        <f>W75/($E$7/100)</f>
        <v>3.3654707878079209</v>
      </c>
      <c r="Z75" s="415">
        <f>W75/Z$9</f>
        <v>1.638654846081455E-2</v>
      </c>
      <c r="AB75"/>
      <c r="AD75" s="160"/>
      <c r="AE75" s="594">
        <f>SUM(AE73:AE74)</f>
        <v>26457.640324044096</v>
      </c>
      <c r="AF75" s="594">
        <f>AE75/$AB$6</f>
        <v>3.5579038398187399</v>
      </c>
      <c r="AG75" s="594">
        <f>AE75/($AB$7/100)</f>
        <v>3.3066057182190849</v>
      </c>
      <c r="AH75" s="415">
        <f>AE75/AH$9</f>
        <v>1.5730757252270605E-2</v>
      </c>
      <c r="AJ75" s="160"/>
      <c r="AK75" s="161">
        <f>SUM(AK73:AK74)</f>
        <v>26716.925199219731</v>
      </c>
      <c r="AL75" s="594">
        <f>AK75/$AB$6</f>
        <v>3.5927712974489641</v>
      </c>
      <c r="AM75" s="594">
        <f>AK75/($AB$7/100)</f>
        <v>3.3390104542576324</v>
      </c>
      <c r="AN75" s="415">
        <f>AK75/AN$9</f>
        <v>1.3728895320485452E-2</v>
      </c>
      <c r="AP75" s="160"/>
      <c r="AQ75" s="161">
        <f>SUM(AQ73:AQ73)</f>
        <v>0</v>
      </c>
      <c r="AR75" s="594">
        <f>AQ75/$AB$6</f>
        <v>0</v>
      </c>
      <c r="AS75" s="594">
        <f>AQ75/($AB$7/100)</f>
        <v>0</v>
      </c>
      <c r="AT75" s="415">
        <f>AQ75/AT$9</f>
        <v>0</v>
      </c>
    </row>
    <row r="76" spans="1:46" ht="15.75" hidden="1">
      <c r="B76" s="28"/>
      <c r="C76" s="29"/>
      <c r="D76" s="29"/>
      <c r="E76" s="29"/>
      <c r="F76" s="29"/>
      <c r="G76" s="29"/>
      <c r="H76" s="91"/>
      <c r="J76" s="190"/>
      <c r="L76" s="29"/>
      <c r="M76" s="29"/>
      <c r="N76" s="145"/>
      <c r="AB76"/>
    </row>
    <row r="77" spans="1:46" ht="15.75" hidden="1">
      <c r="A77" s="21"/>
      <c r="B77" s="17">
        <v>9</v>
      </c>
      <c r="C77" s="18" t="s">
        <v>228</v>
      </c>
      <c r="D77" s="18"/>
      <c r="E77" s="18"/>
      <c r="F77" s="18"/>
      <c r="G77" s="68" t="s">
        <v>67</v>
      </c>
      <c r="H77" s="92"/>
      <c r="J77" s="186" t="s">
        <v>88</v>
      </c>
      <c r="L77" s="69" t="s">
        <v>213</v>
      </c>
      <c r="M77" s="69" t="s">
        <v>214</v>
      </c>
      <c r="N77" s="141" t="s">
        <v>85</v>
      </c>
      <c r="Q77" s="69" t="s">
        <v>67</v>
      </c>
      <c r="R77" s="69" t="s">
        <v>213</v>
      </c>
      <c r="S77" s="69" t="s">
        <v>214</v>
      </c>
      <c r="T77" s="141" t="s">
        <v>85</v>
      </c>
      <c r="W77" s="69" t="s">
        <v>67</v>
      </c>
      <c r="X77" s="69" t="s">
        <v>213</v>
      </c>
      <c r="Y77" s="69" t="s">
        <v>214</v>
      </c>
      <c r="Z77" s="141" t="s">
        <v>85</v>
      </c>
      <c r="AB77"/>
      <c r="AE77" s="69" t="s">
        <v>67</v>
      </c>
      <c r="AF77" s="69" t="s">
        <v>213</v>
      </c>
      <c r="AG77" s="69" t="s">
        <v>214</v>
      </c>
      <c r="AH77" s="141" t="s">
        <v>85</v>
      </c>
      <c r="AK77" s="69" t="s">
        <v>67</v>
      </c>
      <c r="AL77" s="69" t="s">
        <v>213</v>
      </c>
      <c r="AM77" s="69" t="s">
        <v>214</v>
      </c>
      <c r="AN77" s="141" t="s">
        <v>85</v>
      </c>
      <c r="AQ77" s="69" t="s">
        <v>67</v>
      </c>
      <c r="AR77" s="69" t="s">
        <v>213</v>
      </c>
      <c r="AS77" s="69" t="s">
        <v>214</v>
      </c>
      <c r="AT77" s="141" t="s">
        <v>85</v>
      </c>
    </row>
    <row r="78" spans="1:46" ht="15.75" hidden="1">
      <c r="B78" s="22"/>
      <c r="C78" s="30" t="s">
        <v>229</v>
      </c>
      <c r="D78" s="30"/>
      <c r="E78" s="107"/>
      <c r="F78" s="108"/>
      <c r="G78" s="72">
        <v>15337.986246193144</v>
      </c>
      <c r="H78" s="83"/>
      <c r="J78" s="188">
        <f t="shared" ref="J78:J80" si="98">IF($D$2=$L$2,L78,IF($D$2=$M$2,M78,IF($D$2=$N$2,N78,IF($D$2=$R$2,R78,IF($D$2=$S$2,S78,IF($D$2=$T$2,T78,IF($D$2=$X$2,X78,IF($D$2=$Y$2,Y78,IF($D$2=$Z$2,Z78,IF($D$2=$AF$2,AF78,IF($D$2=$AG$2,AG78,IF($D$2=$AH$2,AH78,IF($D$2=$AL$2,AL78,IF($D$2=$AM$2,AM78,IF($D$2=$AN$2,AN78,IF($D$2=$AR$2,AR78,IF($D$2=$AS$2,AS78,IF($D$2=$AT$2,AT78))))))))))))))))))</f>
        <v>1.7842704032919599</v>
      </c>
      <c r="L78" s="75">
        <v>2.0611986666946316</v>
      </c>
      <c r="M78" s="75">
        <v>1.9763352255171915</v>
      </c>
      <c r="N78" s="143"/>
      <c r="P78" s="156">
        <v>1.0777000000000001</v>
      </c>
      <c r="Q78" s="140">
        <f>G78*P78</f>
        <v>16529.747777522352</v>
      </c>
      <c r="R78" s="579">
        <f>Q78/$E$6</f>
        <v>2.2213538030968043</v>
      </c>
      <c r="S78" s="579">
        <f>Q78/($E$7/100)</f>
        <v>2.1298964725398775</v>
      </c>
      <c r="V78" s="156">
        <v>1.002</v>
      </c>
      <c r="W78" s="140">
        <f>G78*V78</f>
        <v>15368.662218685531</v>
      </c>
      <c r="X78" s="579">
        <f>W78/$E$6</f>
        <v>2.0653210640280206</v>
      </c>
      <c r="Y78" s="579">
        <f>W78/($E$7/100)</f>
        <v>1.9802878959682262</v>
      </c>
      <c r="AB78"/>
      <c r="AD78" s="156">
        <f>13268.37/W78</f>
        <v>0.86333929467641291</v>
      </c>
      <c r="AE78" s="579">
        <f>W78*AD78</f>
        <v>13268.37</v>
      </c>
      <c r="AF78" s="579">
        <f t="shared" ref="AF78:AF79" si="99">AE78/$AB$6</f>
        <v>1.7842704032919599</v>
      </c>
      <c r="AG78" s="579">
        <f t="shared" ref="AG78:AG79" si="100">AE78/($AB$7/100)</f>
        <v>1.6582456929681497</v>
      </c>
      <c r="AJ78" s="156">
        <v>1.4373</v>
      </c>
      <c r="AK78" s="140">
        <f>AE78*AJ78</f>
        <v>19070.628201000003</v>
      </c>
      <c r="AL78" s="579">
        <f t="shared" ref="AL78:AL79" si="101">AK78/$AB$6</f>
        <v>2.5645318506515342</v>
      </c>
      <c r="AM78" s="579">
        <f t="shared" ref="AM78:AM79" si="102">AK78/($AB$7/100)</f>
        <v>2.3833965345031216</v>
      </c>
      <c r="AP78" s="156"/>
      <c r="AQ78" s="140">
        <f>AK78*AP78</f>
        <v>0</v>
      </c>
      <c r="AR78" s="579">
        <f t="shared" ref="AR78:AR79" si="103">AQ78/$AB$6</f>
        <v>0</v>
      </c>
      <c r="AS78" s="579">
        <f t="shared" ref="AS78:AS79" si="104">AQ78/($AB$7/100)</f>
        <v>0</v>
      </c>
    </row>
    <row r="79" spans="1:46" ht="15.75" hidden="1">
      <c r="B79" s="24"/>
      <c r="C79" s="25" t="s">
        <v>230</v>
      </c>
      <c r="D79" s="25"/>
      <c r="E79" s="109"/>
      <c r="F79" s="110"/>
      <c r="G79" s="74">
        <v>5766.3105047134104</v>
      </c>
      <c r="H79" s="83"/>
      <c r="I79" s="57"/>
      <c r="J79" s="188">
        <f t="shared" si="98"/>
        <v>0.62603041835321338</v>
      </c>
      <c r="K79" s="57"/>
      <c r="L79" s="75">
        <v>0.77490690976545162</v>
      </c>
      <c r="M79" s="75">
        <v>0.74300252906821018</v>
      </c>
      <c r="N79" s="143"/>
      <c r="P79" s="156">
        <v>1.0081</v>
      </c>
      <c r="Q79" s="140">
        <f>G79*P79</f>
        <v>5813.0176198015888</v>
      </c>
      <c r="R79" s="579">
        <f>Q79/$E$6</f>
        <v>0.78118365573455173</v>
      </c>
      <c r="S79" s="579">
        <f>Q79/($E$7/100)</f>
        <v>0.74902084955366266</v>
      </c>
      <c r="V79" s="156">
        <v>0.86850000000000005</v>
      </c>
      <c r="W79" s="140">
        <f>G79*V79</f>
        <v>5008.0406733435975</v>
      </c>
      <c r="X79" s="579">
        <f>W79/$E$6</f>
        <v>0.67300665113129476</v>
      </c>
      <c r="Y79" s="579">
        <f>W79/($E$7/100)</f>
        <v>0.64529769649574065</v>
      </c>
      <c r="AB79"/>
      <c r="AD79" s="156">
        <f>4655.35/W79</f>
        <v>0.92957511802552417</v>
      </c>
      <c r="AE79" s="579">
        <f t="shared" ref="AE79" si="105">W79*AD79</f>
        <v>4655.3500000000004</v>
      </c>
      <c r="AF79" s="579">
        <f t="shared" si="99"/>
        <v>0.62603041835321338</v>
      </c>
      <c r="AG79" s="579">
        <f t="shared" si="100"/>
        <v>0.58181329634003842</v>
      </c>
      <c r="AJ79" s="156">
        <v>1.7094</v>
      </c>
      <c r="AK79" s="140">
        <f t="shared" ref="AK79" si="106">AE79*AJ79</f>
        <v>7957.8552900000004</v>
      </c>
      <c r="AL79" s="579">
        <f t="shared" si="101"/>
        <v>1.0701363971329829</v>
      </c>
      <c r="AM79" s="579">
        <f t="shared" si="102"/>
        <v>0.99455164876366164</v>
      </c>
      <c r="AP79" s="156"/>
      <c r="AQ79" s="140">
        <f t="shared" ref="AQ79" si="107">AK79*AP79</f>
        <v>0</v>
      </c>
      <c r="AR79" s="579">
        <f t="shared" si="103"/>
        <v>0</v>
      </c>
      <c r="AS79" s="579">
        <f t="shared" si="104"/>
        <v>0</v>
      </c>
    </row>
    <row r="80" spans="1:46" ht="15.75" hidden="1">
      <c r="B80" s="26"/>
      <c r="C80" s="27" t="s">
        <v>6</v>
      </c>
      <c r="D80" s="27"/>
      <c r="E80" s="76"/>
      <c r="F80" s="77"/>
      <c r="G80" s="78">
        <v>21104.296750906557</v>
      </c>
      <c r="H80" s="104"/>
      <c r="J80" s="189">
        <f t="shared" si="98"/>
        <v>2.4103008216451731</v>
      </c>
      <c r="L80" s="80">
        <v>2.8361055764600831</v>
      </c>
      <c r="M80" s="80">
        <v>2.7193377545854016</v>
      </c>
      <c r="N80" s="202">
        <f>G80/$N$9</f>
        <v>1.4367119629638015E-2</v>
      </c>
      <c r="P80" s="160"/>
      <c r="Q80" s="161">
        <f>SUM(Q78:Q79)</f>
        <v>22342.765397323943</v>
      </c>
      <c r="R80" s="594">
        <f>Q80/$E$6</f>
        <v>3.0025374588313563</v>
      </c>
      <c r="S80" s="594">
        <f>Q80/($E$7/100)</f>
        <v>2.8789173220935402</v>
      </c>
      <c r="T80" s="415">
        <f>Q80/T$9</f>
        <v>1.4226223394730848E-2</v>
      </c>
      <c r="V80" s="160"/>
      <c r="W80" s="161">
        <f>SUM(W78:W79)</f>
        <v>20376.702892029127</v>
      </c>
      <c r="X80" s="594">
        <f>W80/$E$6</f>
        <v>2.7383277151593153</v>
      </c>
      <c r="Y80" s="594">
        <f>W80/($E$7/100)</f>
        <v>2.6255855924639664</v>
      </c>
      <c r="Z80" s="415">
        <f>W80/Z$9</f>
        <v>1.278403179275577E-2</v>
      </c>
      <c r="AB80"/>
      <c r="AD80" s="160"/>
      <c r="AE80" s="594">
        <f>SUM(AE78:AE79)</f>
        <v>17923.72</v>
      </c>
      <c r="AF80" s="594">
        <f>AE80/$AB$6</f>
        <v>2.4103008216451731</v>
      </c>
      <c r="AG80" s="594">
        <f>AE80/($AB$7/100)</f>
        <v>2.2400589893081881</v>
      </c>
      <c r="AH80" s="415">
        <f>AE80/AH$9</f>
        <v>1.065679648390392E-2</v>
      </c>
      <c r="AJ80" s="160"/>
      <c r="AK80" s="161">
        <f>SUM(AK78:AK79)</f>
        <v>27028.483491000003</v>
      </c>
      <c r="AL80" s="594">
        <f>AK80/$AB$6</f>
        <v>3.6346682477845169</v>
      </c>
      <c r="AM80" s="594">
        <f>AK80/($AB$7/100)</f>
        <v>3.3779481832667835</v>
      </c>
      <c r="AN80" s="415">
        <f>AK80/AN$9</f>
        <v>1.3888994251862687E-2</v>
      </c>
      <c r="AP80" s="160"/>
      <c r="AQ80" s="161">
        <f>SUM(AQ78:AQ79)</f>
        <v>0</v>
      </c>
      <c r="AR80" s="594">
        <f>AQ80/$AB$6</f>
        <v>0</v>
      </c>
      <c r="AS80" s="594">
        <f>AQ80/($AB$7/100)</f>
        <v>0</v>
      </c>
      <c r="AT80" s="415">
        <f>AQ80/AT$9</f>
        <v>0</v>
      </c>
    </row>
    <row r="81" spans="1:46" ht="15.75" hidden="1">
      <c r="B81" s="34"/>
      <c r="C81" s="36"/>
      <c r="D81" s="36"/>
      <c r="E81" s="97"/>
      <c r="F81" s="98"/>
      <c r="G81" s="99"/>
      <c r="H81" s="100"/>
      <c r="J81" s="193"/>
      <c r="L81" s="101"/>
      <c r="M81" s="101"/>
      <c r="N81" s="99"/>
      <c r="AB81"/>
    </row>
    <row r="82" spans="1:46" ht="15.75" hidden="1">
      <c r="A82" s="21"/>
      <c r="B82" s="17">
        <v>10</v>
      </c>
      <c r="C82" s="18" t="s">
        <v>19</v>
      </c>
      <c r="D82" s="18"/>
      <c r="E82" s="18"/>
      <c r="F82" s="18"/>
      <c r="G82" s="68" t="s">
        <v>67</v>
      </c>
      <c r="H82" s="92"/>
      <c r="J82" s="186" t="s">
        <v>88</v>
      </c>
      <c r="L82" s="69" t="s">
        <v>213</v>
      </c>
      <c r="M82" s="69" t="s">
        <v>214</v>
      </c>
      <c r="N82" s="141" t="s">
        <v>85</v>
      </c>
      <c r="Q82" s="69" t="s">
        <v>67</v>
      </c>
      <c r="R82" s="69" t="s">
        <v>213</v>
      </c>
      <c r="S82" s="69" t="s">
        <v>214</v>
      </c>
      <c r="T82" s="141" t="s">
        <v>85</v>
      </c>
      <c r="W82" s="69" t="s">
        <v>67</v>
      </c>
      <c r="X82" s="69" t="s">
        <v>213</v>
      </c>
      <c r="Y82" s="69" t="s">
        <v>214</v>
      </c>
      <c r="Z82" s="141" t="s">
        <v>85</v>
      </c>
      <c r="AB82"/>
      <c r="AE82" s="69" t="s">
        <v>67</v>
      </c>
      <c r="AF82" s="69" t="s">
        <v>213</v>
      </c>
      <c r="AG82" s="69" t="s">
        <v>214</v>
      </c>
      <c r="AH82" s="141" t="s">
        <v>85</v>
      </c>
      <c r="AK82" s="69" t="s">
        <v>67</v>
      </c>
      <c r="AL82" s="69" t="s">
        <v>213</v>
      </c>
      <c r="AM82" s="69" t="s">
        <v>214</v>
      </c>
      <c r="AN82" s="141" t="s">
        <v>85</v>
      </c>
      <c r="AQ82" s="69" t="s">
        <v>67</v>
      </c>
      <c r="AR82" s="69" t="s">
        <v>213</v>
      </c>
      <c r="AS82" s="69" t="s">
        <v>214</v>
      </c>
      <c r="AT82" s="141" t="s">
        <v>85</v>
      </c>
    </row>
    <row r="83" spans="1:46" ht="15.75" hidden="1">
      <c r="B83" s="37"/>
      <c r="C83" s="30" t="s">
        <v>231</v>
      </c>
      <c r="D83" s="30"/>
      <c r="E83" s="107"/>
      <c r="F83" s="108"/>
      <c r="G83" s="72">
        <v>31884.2151414863</v>
      </c>
      <c r="H83" s="83"/>
      <c r="J83" s="188">
        <f t="shared" ref="J83:J88" si="108">IF($D$2=$L$2,L83,IF($D$2=$M$2,M83,IF($D$2=$N$2,N83,IF($D$2=$R$2,R83,IF($D$2=$S$2,S83,IF($D$2=$T$2,T83,IF($D$2=$X$2,X83,IF($D$2=$Y$2,Y83,IF($D$2=$Z$2,Z83,IF($D$2=$AF$2,AF83,IF($D$2=$AG$2,AG83,IF($D$2=$AH$2,AH83,IF($D$2=$AL$2,AL83,IF($D$2=$AM$2,AM83,IF($D$2=$AN$2,AN83,IF($D$2=$AR$2,AR83,IF($D$2=$AS$2,AS83,IF($D$2=$AT$2,AT83))))))))))))))))))</f>
        <v>4.9919333564430497</v>
      </c>
      <c r="L83" s="75">
        <v>4.2847672884403476</v>
      </c>
      <c r="M83" s="75">
        <v>4.1083553284400613</v>
      </c>
      <c r="N83" s="143"/>
      <c r="P83" s="156">
        <f>11.75/11.08</f>
        <v>1.0604693140794224</v>
      </c>
      <c r="Q83" s="140">
        <f>G83*P83</f>
        <v>33812.23176105271</v>
      </c>
      <c r="R83" s="579">
        <f>Q83/$E$6</f>
        <v>4.543864227362282</v>
      </c>
      <c r="S83" s="579">
        <f>Q83/($E$7/100)</f>
        <v>4.3567847571453724</v>
      </c>
      <c r="V83" s="156">
        <f>12.33/11.08</f>
        <v>1.1128158844765343</v>
      </c>
      <c r="W83" s="140">
        <f>G83*V83</f>
        <v>35481.261073513189</v>
      </c>
      <c r="X83" s="579">
        <f>W83/$E$6</f>
        <v>4.7681570998618676</v>
      </c>
      <c r="Y83" s="579">
        <f>W83/($E$7/100)</f>
        <v>4.5718430685619103</v>
      </c>
      <c r="AB83"/>
      <c r="AD83" s="156">
        <f>12.9/12.33</f>
        <v>1.0462287104622872</v>
      </c>
      <c r="AE83" s="579">
        <f>W83*AD83</f>
        <v>37121.514018517453</v>
      </c>
      <c r="AF83" s="579">
        <f t="shared" ref="AF83:AF87" si="109">AE83/$AB$6</f>
        <v>4.9919333564430497</v>
      </c>
      <c r="AG83" s="579">
        <f t="shared" ref="AG83:AG87" si="110">AE83/($AB$7/100)</f>
        <v>4.6393483704225424</v>
      </c>
      <c r="AJ83" s="156">
        <f>13.37/12.9</f>
        <v>1.0364341085271318</v>
      </c>
      <c r="AK83" s="140">
        <f>AE83*AJ83</f>
        <v>38474.00328895956</v>
      </c>
      <c r="AL83" s="579">
        <f t="shared" ref="AL83:AL87" si="111">AK83/$AB$6</f>
        <v>5.1738099981119055</v>
      </c>
      <c r="AM83" s="579">
        <f t="shared" ref="AM83:AM87" si="112">AK83/($AB$7/100)</f>
        <v>4.8083788924456892</v>
      </c>
      <c r="AP83" s="156"/>
      <c r="AQ83" s="140">
        <f>AK83*AP83</f>
        <v>0</v>
      </c>
      <c r="AR83" s="579">
        <f t="shared" ref="AR83:AR87" si="113">AQ83/$AB$6</f>
        <v>0</v>
      </c>
      <c r="AS83" s="579">
        <f t="shared" ref="AS83:AS87" si="114">AQ83/($AB$7/100)</f>
        <v>0</v>
      </c>
    </row>
    <row r="84" spans="1:46" ht="15.75" hidden="1">
      <c r="B84" s="38"/>
      <c r="C84" s="25" t="s">
        <v>232</v>
      </c>
      <c r="D84" s="25"/>
      <c r="E84" s="109"/>
      <c r="F84" s="110"/>
      <c r="G84" s="74">
        <v>5896.1143452243696</v>
      </c>
      <c r="H84" s="83"/>
      <c r="I84" s="57"/>
      <c r="J84" s="188">
        <f t="shared" si="108"/>
        <v>0.92312166828378328</v>
      </c>
      <c r="K84" s="57"/>
      <c r="L84" s="75">
        <v>0.7923506275194323</v>
      </c>
      <c r="M84" s="75">
        <v>0.75972805602406435</v>
      </c>
      <c r="N84" s="143"/>
      <c r="P84" s="156">
        <f>11.75/11.08</f>
        <v>1.0604693140794224</v>
      </c>
      <c r="Q84" s="140">
        <f>G84*P84</f>
        <v>6252.64833541393</v>
      </c>
      <c r="R84" s="579">
        <f>Q84/$E$6</f>
        <v>0.84026352647593239</v>
      </c>
      <c r="S84" s="579">
        <f>Q84/($E$7/100)</f>
        <v>0.80566829045873256</v>
      </c>
      <c r="V84" s="156">
        <f>12.33/11.08</f>
        <v>1.1128158844765343</v>
      </c>
      <c r="W84" s="140">
        <f>G84*V84</f>
        <v>6561.2897000556386</v>
      </c>
      <c r="X84" s="579">
        <f>W84/$E$6</f>
        <v>0.88174036437857406</v>
      </c>
      <c r="Y84" s="579">
        <f>W84/($E$7/100)</f>
        <v>0.84543744862605719</v>
      </c>
      <c r="AB84"/>
      <c r="AD84" s="157">
        <f>AD83</f>
        <v>1.0462287104622872</v>
      </c>
      <c r="AE84" s="579">
        <f t="shared" ref="AE84:AE87" si="115">W84*AD84</f>
        <v>6864.609661858698</v>
      </c>
      <c r="AF84" s="579">
        <f t="shared" si="109"/>
        <v>0.92312166828378328</v>
      </c>
      <c r="AG84" s="579">
        <f t="shared" si="110"/>
        <v>0.85792070960372158</v>
      </c>
      <c r="AJ84" s="156">
        <f>13.37/12.9</f>
        <v>1.0364341085271318</v>
      </c>
      <c r="AK84" s="140">
        <f t="shared" ref="AK84:AK87" si="116">AE84*AJ84</f>
        <v>7114.7155952752555</v>
      </c>
      <c r="AL84" s="579">
        <f t="shared" si="111"/>
        <v>0.9567547833297817</v>
      </c>
      <c r="AM84" s="579">
        <f t="shared" si="112"/>
        <v>0.8891782858450975</v>
      </c>
      <c r="AP84" s="156"/>
      <c r="AQ84" s="140">
        <f t="shared" ref="AQ84:AQ87" si="117">AK84*AP84</f>
        <v>0</v>
      </c>
      <c r="AR84" s="579">
        <f t="shared" si="113"/>
        <v>0</v>
      </c>
      <c r="AS84" s="579">
        <f t="shared" si="114"/>
        <v>0</v>
      </c>
    </row>
    <row r="85" spans="1:46" ht="15.75" hidden="1">
      <c r="B85" s="38"/>
      <c r="C85" s="25" t="s">
        <v>233</v>
      </c>
      <c r="D85" s="25"/>
      <c r="E85" s="109"/>
      <c r="F85" s="110"/>
      <c r="G85" s="74">
        <v>10412.735326334774</v>
      </c>
      <c r="H85" s="83"/>
      <c r="I85" s="57"/>
      <c r="J85" s="188">
        <f t="shared" si="108"/>
        <v>1.4988672520607285</v>
      </c>
      <c r="K85" s="57"/>
      <c r="L85" s="75">
        <v>1.3993177348566423</v>
      </c>
      <c r="M85" s="75">
        <v>1.3417051814432512</v>
      </c>
      <c r="N85" s="143"/>
      <c r="P85" s="156">
        <f>137.6/134.9</f>
        <v>1.0200148257968864</v>
      </c>
      <c r="Q85" s="140">
        <f>G85*P85</f>
        <v>10621.144409960451</v>
      </c>
      <c r="R85" s="579">
        <f>Q85/$E$6</f>
        <v>1.4273248355542918</v>
      </c>
      <c r="S85" s="579">
        <f>Q85/($E$7/100)</f>
        <v>1.3685591769206178</v>
      </c>
      <c r="V85" s="156">
        <f>141.6/134.9</f>
        <v>1.0496664195700518</v>
      </c>
      <c r="W85" s="140">
        <f>G85*V85</f>
        <v>10929.898607924417</v>
      </c>
      <c r="X85" s="579">
        <f>W85/$E$6</f>
        <v>1.4688168365878467</v>
      </c>
      <c r="Y85" s="579">
        <f>W85/($E$7/100)</f>
        <v>1.4083428739241242</v>
      </c>
      <c r="AB85"/>
      <c r="AD85" s="156">
        <f>144.4/141.6</f>
        <v>1.0197740112994351</v>
      </c>
      <c r="AE85" s="579">
        <f t="shared" si="115"/>
        <v>11146.026546499195</v>
      </c>
      <c r="AF85" s="579">
        <f t="shared" si="109"/>
        <v>1.4988672520607285</v>
      </c>
      <c r="AG85" s="579">
        <f t="shared" si="110"/>
        <v>1.3930008369107094</v>
      </c>
      <c r="AJ85" s="156">
        <f>148.9/144.4</f>
        <v>1.0311634349030472</v>
      </c>
      <c r="AK85" s="620">
        <f t="shared" si="116"/>
        <v>11493.375019208659</v>
      </c>
      <c r="AL85" s="579">
        <f t="shared" si="111"/>
        <v>1.5455771040986321</v>
      </c>
      <c r="AM85" s="579">
        <f t="shared" si="112"/>
        <v>1.4364115278116665</v>
      </c>
      <c r="AP85" s="156"/>
      <c r="AQ85" s="140">
        <f t="shared" si="117"/>
        <v>0</v>
      </c>
      <c r="AR85" s="579">
        <f t="shared" si="113"/>
        <v>0</v>
      </c>
      <c r="AS85" s="579">
        <f t="shared" si="114"/>
        <v>0</v>
      </c>
    </row>
    <row r="86" spans="1:46" ht="15.75" hidden="1">
      <c r="B86" s="38"/>
      <c r="C86" s="25"/>
      <c r="D86" s="25"/>
      <c r="E86" s="109"/>
      <c r="F86" s="110"/>
      <c r="G86" s="74"/>
      <c r="H86" s="83"/>
      <c r="I86" s="57"/>
      <c r="J86" s="188"/>
      <c r="K86" s="57"/>
      <c r="L86" s="75"/>
      <c r="M86" s="75"/>
      <c r="N86" s="143"/>
      <c r="P86" s="156"/>
      <c r="Q86" s="140"/>
      <c r="R86" s="579"/>
      <c r="S86" s="579"/>
      <c r="V86" s="156"/>
      <c r="W86" s="140"/>
      <c r="X86" s="579"/>
      <c r="Y86" s="579"/>
      <c r="AB86" s="156" t="s">
        <v>376</v>
      </c>
      <c r="AC86" s="140"/>
      <c r="AE86" s="614">
        <v>352.65</v>
      </c>
      <c r="AF86" s="579">
        <f t="shared" si="109"/>
        <v>4.7422777456530799E-2</v>
      </c>
      <c r="AG86" s="579">
        <f t="shared" si="110"/>
        <v>4.4073261721313012E-2</v>
      </c>
      <c r="AJ86" s="156">
        <f>148.9/144.4</f>
        <v>1.0311634349030472</v>
      </c>
      <c r="AK86" s="140">
        <f t="shared" ref="AK86" si="118">AE86*AJ86</f>
        <v>363.63978531855957</v>
      </c>
      <c r="AL86" s="579">
        <f t="shared" si="111"/>
        <v>4.8900634094719092E-2</v>
      </c>
      <c r="AM86" s="579">
        <f t="shared" si="112"/>
        <v>4.544673594393011E-2</v>
      </c>
      <c r="AP86" s="156"/>
      <c r="AQ86" s="140"/>
      <c r="AR86" s="579">
        <f t="shared" si="113"/>
        <v>0</v>
      </c>
      <c r="AS86" s="579">
        <f t="shared" si="114"/>
        <v>0</v>
      </c>
    </row>
    <row r="87" spans="1:46" hidden="1">
      <c r="B87" s="38"/>
      <c r="C87" s="40" t="s">
        <v>234</v>
      </c>
      <c r="D87" s="40"/>
      <c r="E87" s="109"/>
      <c r="F87" s="110"/>
      <c r="G87" s="74">
        <v>6644.7925902343422</v>
      </c>
      <c r="H87" s="83"/>
      <c r="I87" s="57"/>
      <c r="J87" s="188">
        <f t="shared" si="108"/>
        <v>0.9564885400524038</v>
      </c>
      <c r="K87" s="57"/>
      <c r="L87" s="75">
        <v>0.89296191870381747</v>
      </c>
      <c r="M87" s="75">
        <v>0.85619699037056907</v>
      </c>
      <c r="N87" s="143"/>
      <c r="P87" s="156">
        <f>137.6/134.9</f>
        <v>1.0200148257968864</v>
      </c>
      <c r="Q87" s="140">
        <f>G87*P87</f>
        <v>6777.7869563843242</v>
      </c>
      <c r="R87" s="579">
        <f>Q87/$E$6</f>
        <v>0.91083439594992777</v>
      </c>
      <c r="S87" s="579">
        <f>Q87/($E$7/100)</f>
        <v>0.87333362398065451</v>
      </c>
      <c r="V87" s="156">
        <f>141.6/134.9</f>
        <v>1.0496664195700518</v>
      </c>
      <c r="W87" s="140">
        <f>G87*V87</f>
        <v>6974.8156469768928</v>
      </c>
      <c r="X87" s="579">
        <f>W87/$E$6</f>
        <v>0.93731214001823981</v>
      </c>
      <c r="Y87" s="579">
        <f>W87/($E$7/100)</f>
        <v>0.89872122932892951</v>
      </c>
      <c r="AB87"/>
      <c r="AD87" s="157">
        <f>AD85</f>
        <v>1.0197740112994351</v>
      </c>
      <c r="AE87" s="579">
        <f t="shared" si="115"/>
        <v>7112.7357303916906</v>
      </c>
      <c r="AF87" s="579">
        <f t="shared" si="109"/>
        <v>0.9564885400524038</v>
      </c>
      <c r="AG87" s="579">
        <f t="shared" si="110"/>
        <v>0.88893084758283691</v>
      </c>
      <c r="AJ87" s="156">
        <f>148.9/144.4</f>
        <v>1.0311634349030472</v>
      </c>
      <c r="AK87" s="140">
        <f t="shared" si="116"/>
        <v>7334.3930073083302</v>
      </c>
      <c r="AL87" s="579">
        <f t="shared" si="111"/>
        <v>0.98629600840583753</v>
      </c>
      <c r="AM87" s="579">
        <f t="shared" si="112"/>
        <v>0.91663298618479527</v>
      </c>
      <c r="AP87" s="156"/>
      <c r="AQ87" s="140">
        <f t="shared" si="117"/>
        <v>0</v>
      </c>
      <c r="AR87" s="579">
        <f t="shared" si="113"/>
        <v>0</v>
      </c>
      <c r="AS87" s="579">
        <f t="shared" si="114"/>
        <v>0</v>
      </c>
    </row>
    <row r="88" spans="1:46" ht="15.75" hidden="1">
      <c r="B88" s="39"/>
      <c r="C88" s="27" t="s">
        <v>6</v>
      </c>
      <c r="D88" s="27"/>
      <c r="E88" s="76"/>
      <c r="F88" s="77"/>
      <c r="G88" s="78">
        <v>54837.857403279784</v>
      </c>
      <c r="H88" s="104"/>
      <c r="J88" s="189">
        <f t="shared" si="108"/>
        <v>8.4178335942964964</v>
      </c>
      <c r="L88" s="80">
        <v>7.3693975695202401</v>
      </c>
      <c r="M88" s="80">
        <v>7.0659855562779468</v>
      </c>
      <c r="N88" s="202">
        <f>G88/$N$9</f>
        <v>3.7331831846617106E-2</v>
      </c>
      <c r="P88" s="160"/>
      <c r="Q88" s="161">
        <f>SUM(Q83:Q87)</f>
        <v>57463.811462811413</v>
      </c>
      <c r="R88" s="594">
        <f>Q88/$E$6</f>
        <v>7.722286985342433</v>
      </c>
      <c r="S88" s="594">
        <f>Q88/($E$7/100)</f>
        <v>7.4043458485053772</v>
      </c>
      <c r="T88" s="415">
        <f>Q88/T$9</f>
        <v>3.6588712473370186E-2</v>
      </c>
      <c r="V88" s="160"/>
      <c r="W88" s="161">
        <f>SUM(W83:W87)</f>
        <v>59947.265028470145</v>
      </c>
      <c r="X88" s="594">
        <f>W88/$E$6</f>
        <v>8.0560264408465283</v>
      </c>
      <c r="Y88" s="594">
        <f>W88/($E$7/100)</f>
        <v>7.7243446204410224</v>
      </c>
      <c r="Z88" s="415">
        <f>W88/Z$9</f>
        <v>3.7609997361864808E-2</v>
      </c>
      <c r="AB88"/>
      <c r="AD88" s="160"/>
      <c r="AE88" s="594">
        <f>SUM(AE83:AE87)</f>
        <v>62597.535957267042</v>
      </c>
      <c r="AF88" s="594">
        <f>AE88/$AB$6</f>
        <v>8.4178335942964964</v>
      </c>
      <c r="AG88" s="594">
        <f>AE88/($AB$7/100)</f>
        <v>7.8232740262411244</v>
      </c>
      <c r="AH88" s="415">
        <f>AE88/AH$9</f>
        <v>3.7218233775714669E-2</v>
      </c>
      <c r="AJ88" s="160"/>
      <c r="AK88" s="161">
        <f>SUM(AK83:AK87)</f>
        <v>64780.126696070372</v>
      </c>
      <c r="AL88" s="594">
        <f>AK88/$AB$6</f>
        <v>8.7113385280408764</v>
      </c>
      <c r="AM88" s="594">
        <f>AK88/($AB$7/100)</f>
        <v>8.09604842823118</v>
      </c>
      <c r="AN88" s="415">
        <f>AK88/AN$9</f>
        <v>3.3288245994868786E-2</v>
      </c>
      <c r="AP88" s="160"/>
      <c r="AQ88" s="161">
        <f>SUM(AQ83:AQ87)</f>
        <v>0</v>
      </c>
      <c r="AR88" s="594">
        <f>AQ88/$AB$6</f>
        <v>0</v>
      </c>
      <c r="AS88" s="594">
        <f>AQ88/($AB$7/100)</f>
        <v>0</v>
      </c>
      <c r="AT88" s="415">
        <f>AQ88/AT$9</f>
        <v>0</v>
      </c>
    </row>
    <row r="89" spans="1:46" ht="15.75" hidden="1">
      <c r="B89" s="34"/>
      <c r="C89" s="36"/>
      <c r="D89" s="36"/>
      <c r="E89" s="97"/>
      <c r="F89" s="98"/>
      <c r="G89" s="99"/>
      <c r="H89" s="100"/>
      <c r="J89" s="193"/>
      <c r="L89" s="101"/>
      <c r="M89" s="101"/>
      <c r="N89" s="99"/>
      <c r="AB89"/>
    </row>
    <row r="90" spans="1:46" ht="15.75" hidden="1">
      <c r="A90" s="21"/>
      <c r="B90" s="17">
        <v>11</v>
      </c>
      <c r="C90" s="18" t="s">
        <v>20</v>
      </c>
      <c r="D90" s="18" t="s">
        <v>65</v>
      </c>
      <c r="E90" s="18"/>
      <c r="F90" s="18" t="s">
        <v>66</v>
      </c>
      <c r="G90" s="68" t="s">
        <v>67</v>
      </c>
      <c r="H90" s="92"/>
      <c r="J90" s="186" t="s">
        <v>88</v>
      </c>
      <c r="L90" s="69" t="s">
        <v>213</v>
      </c>
      <c r="M90" s="69" t="s">
        <v>214</v>
      </c>
      <c r="N90" s="141" t="s">
        <v>85</v>
      </c>
      <c r="Q90" s="69" t="s">
        <v>67</v>
      </c>
      <c r="R90" s="69" t="s">
        <v>213</v>
      </c>
      <c r="S90" s="69" t="s">
        <v>214</v>
      </c>
      <c r="T90" s="141" t="s">
        <v>85</v>
      </c>
      <c r="W90" s="69" t="s">
        <v>67</v>
      </c>
      <c r="X90" s="69" t="s">
        <v>213</v>
      </c>
      <c r="Y90" s="69" t="s">
        <v>214</v>
      </c>
      <c r="Z90" s="141" t="s">
        <v>85</v>
      </c>
      <c r="AB90"/>
      <c r="AE90" s="69" t="s">
        <v>67</v>
      </c>
      <c r="AF90" s="69" t="s">
        <v>213</v>
      </c>
      <c r="AG90" s="69" t="s">
        <v>214</v>
      </c>
      <c r="AH90" s="141" t="s">
        <v>85</v>
      </c>
      <c r="AK90" s="69" t="s">
        <v>67</v>
      </c>
      <c r="AL90" s="69" t="s">
        <v>213</v>
      </c>
      <c r="AM90" s="69" t="s">
        <v>214</v>
      </c>
      <c r="AN90" s="141" t="s">
        <v>85</v>
      </c>
      <c r="AQ90" s="69" t="s">
        <v>67</v>
      </c>
      <c r="AR90" s="69" t="s">
        <v>213</v>
      </c>
      <c r="AS90" s="69" t="s">
        <v>214</v>
      </c>
      <c r="AT90" s="141" t="s">
        <v>85</v>
      </c>
    </row>
    <row r="91" spans="1:46" ht="15.75" hidden="1">
      <c r="B91" s="22"/>
      <c r="C91" s="30" t="s">
        <v>235</v>
      </c>
      <c r="D91" s="30">
        <v>23.258210686947148</v>
      </c>
      <c r="E91" s="70"/>
      <c r="F91" s="108">
        <v>210.67905186856819</v>
      </c>
      <c r="G91" s="72">
        <v>4900.0177756854255</v>
      </c>
      <c r="H91" s="83"/>
      <c r="J91" s="188">
        <f t="shared" ref="J91:J94" si="119">IF($D$2=$L$2,L91,IF($D$2=$M$2,M91,IF($D$2=$N$2,N91,IF($D$2=$R$2,R91,IF($D$2=$S$2,S91,IF($D$2=$T$2,T91,IF($D$2=$X$2,X91,IF($D$2=$Y$2,Y91,IF($D$2=$Z$2,Z91,IF($D$2=$AF$2,AF91,IF($D$2=$AG$2,AG91,IF($D$2=$AH$2,AH91,IF($D$2=$AL$2,AL91,IF($D$2=$AM$2,AM91,IF($D$2=$AN$2,AN91,IF($D$2=$AR$2,AR91,IF($D$2=$AS$2,AS91,IF($D$2=$AT$2,AT91))))))))))))))))))</f>
        <v>0.78965682532675507</v>
      </c>
      <c r="L91" s="75">
        <v>0.65848997018950706</v>
      </c>
      <c r="M91" s="75">
        <v>0.63137869471952823</v>
      </c>
      <c r="N91" s="220"/>
      <c r="P91" s="156">
        <v>1.0345</v>
      </c>
      <c r="Q91" s="140">
        <f>SUM(G91:G93)*P91</f>
        <v>13203.614637036111</v>
      </c>
      <c r="R91" s="579">
        <f>Q91/$E$6</f>
        <v>1.7743706669552741</v>
      </c>
      <c r="S91" s="579">
        <f>Q91/($E$7/100)</f>
        <v>1.7013164761316384</v>
      </c>
      <c r="V91" s="156">
        <v>1.1124000000000001</v>
      </c>
      <c r="W91" s="140">
        <f>G91*V91</f>
        <v>5450.7797736724679</v>
      </c>
      <c r="X91" s="579">
        <f>W91/$E$6</f>
        <v>0.73250424283880766</v>
      </c>
      <c r="Y91" s="579">
        <f>W91/($E$7/100)</f>
        <v>0.70234566000600318</v>
      </c>
      <c r="AB91"/>
      <c r="AD91" s="156">
        <v>1.0772999999999999</v>
      </c>
      <c r="AE91" s="579">
        <f>W91*AD91</f>
        <v>5872.1250501773493</v>
      </c>
      <c r="AF91" s="579">
        <f t="shared" ref="AF91:AF93" si="120">AE91/$AB$6</f>
        <v>0.78965682532675507</v>
      </c>
      <c r="AG91" s="579">
        <f t="shared" ref="AG91:AG93" si="121">AE91/($AB$7/100)</f>
        <v>0.73388261504819119</v>
      </c>
      <c r="AJ91" s="156">
        <v>1.046</v>
      </c>
      <c r="AK91" s="140">
        <f>AE91*AJ91</f>
        <v>6142.242802485508</v>
      </c>
      <c r="AL91" s="579">
        <f t="shared" ref="AL91:AL93" si="122">AK91/$AB$6</f>
        <v>0.8259810392917859</v>
      </c>
      <c r="AM91" s="579">
        <f t="shared" ref="AM91:AM93" si="123">AK91/($AB$7/100)</f>
        <v>0.76764121534040808</v>
      </c>
      <c r="AP91" s="156"/>
      <c r="AQ91" s="140">
        <f>AK91*AP91</f>
        <v>0</v>
      </c>
      <c r="AR91" s="579">
        <f t="shared" ref="AR91:AR93" si="124">AQ91/$AB$6</f>
        <v>0</v>
      </c>
      <c r="AS91" s="579">
        <f t="shared" ref="AS91:AS93" si="125">AQ91/($AB$7/100)</f>
        <v>0</v>
      </c>
    </row>
    <row r="92" spans="1:46" ht="15.75" hidden="1">
      <c r="B92" s="24"/>
      <c r="C92" s="25" t="s">
        <v>41</v>
      </c>
      <c r="D92" s="25"/>
      <c r="E92" s="111"/>
      <c r="F92" s="110"/>
      <c r="G92" s="74">
        <v>5961.6559963924965</v>
      </c>
      <c r="H92" s="83"/>
      <c r="I92" s="57"/>
      <c r="J92" s="188">
        <f t="shared" si="119"/>
        <v>0.84116121018867218</v>
      </c>
      <c r="K92" s="57"/>
      <c r="L92" s="75">
        <v>0.80115845677630348</v>
      </c>
      <c r="M92" s="75">
        <v>0.76817325031899852</v>
      </c>
      <c r="N92" s="220"/>
      <c r="P92" s="156">
        <f>144/142.2</f>
        <v>1.0126582278481013</v>
      </c>
      <c r="Q92" s="140">
        <f t="shared" ref="Q92:Q93" si="126">SUM(G92:G94)*P92</f>
        <v>20887.640587210262</v>
      </c>
      <c r="R92" s="579">
        <f t="shared" ref="R92:R93" si="127">Q92/$E$6</f>
        <v>2.8069901900870637</v>
      </c>
      <c r="S92" s="579">
        <f>Q92/($E$7/100)</f>
        <v>2.6914211036466469</v>
      </c>
      <c r="V92" s="156">
        <f>147.1/142.2</f>
        <v>1.0344585091420535</v>
      </c>
      <c r="W92" s="140">
        <f>G92*V92</f>
        <v>6167.0857740459651</v>
      </c>
      <c r="X92" s="579">
        <f>W92/$E$6</f>
        <v>0.8287651827833632</v>
      </c>
      <c r="Y92" s="579">
        <f>W92/($E$7/100)</f>
        <v>0.79464335528779662</v>
      </c>
      <c r="AB92"/>
      <c r="AD92" s="156">
        <f>149.2/147.1</f>
        <v>1.0142760027192386</v>
      </c>
      <c r="AE92" s="579">
        <f t="shared" ref="AE92:AE93" si="128">W92*AD92</f>
        <v>6255.1271073260232</v>
      </c>
      <c r="AF92" s="579">
        <f t="shared" si="120"/>
        <v>0.84116121018867218</v>
      </c>
      <c r="AG92" s="579">
        <f t="shared" si="121"/>
        <v>0.78174919637391016</v>
      </c>
      <c r="AJ92" s="156">
        <f>151.6/149.2</f>
        <v>1.0160857908847185</v>
      </c>
      <c r="AK92" s="140">
        <f t="shared" ref="AK92:AK93" si="129">AE92*AJ92</f>
        <v>6355.7457739318033</v>
      </c>
      <c r="AL92" s="579">
        <f t="shared" si="122"/>
        <v>0.85469195351610383</v>
      </c>
      <c r="AM92" s="579">
        <f t="shared" si="123"/>
        <v>0.79432425047107758</v>
      </c>
      <c r="AP92" s="156"/>
      <c r="AQ92" s="140">
        <f t="shared" ref="AQ92:AQ93" si="130">AK92*AP92</f>
        <v>0</v>
      </c>
      <c r="AR92" s="579">
        <f t="shared" si="124"/>
        <v>0</v>
      </c>
      <c r="AS92" s="579">
        <f t="shared" si="125"/>
        <v>0</v>
      </c>
    </row>
    <row r="93" spans="1:46" hidden="1">
      <c r="B93" s="24"/>
      <c r="C93" s="40" t="s">
        <v>236</v>
      </c>
      <c r="D93" s="40"/>
      <c r="E93" s="111"/>
      <c r="F93" s="110"/>
      <c r="G93" s="74">
        <v>1901.607655699856</v>
      </c>
      <c r="H93" s="83"/>
      <c r="I93" s="57"/>
      <c r="J93" s="188">
        <f t="shared" si="119"/>
        <v>0.27174804674367631</v>
      </c>
      <c r="K93" s="57"/>
      <c r="L93" s="75">
        <v>0.25554796448443035</v>
      </c>
      <c r="M93" s="75">
        <v>0.24502657224676894</v>
      </c>
      <c r="N93" s="220"/>
      <c r="P93" s="156">
        <f>130.1/127</f>
        <v>1.0244094488188975</v>
      </c>
      <c r="Q93" s="140">
        <f t="shared" si="126"/>
        <v>15022.85094299559</v>
      </c>
      <c r="R93" s="579">
        <f t="shared" si="127"/>
        <v>2.0188491394259898</v>
      </c>
      <c r="S93" s="579">
        <f>Q93/($E$7/100)</f>
        <v>1.9357293082529259</v>
      </c>
      <c r="V93" s="156">
        <f>131.9/127</f>
        <v>1.0385826771653544</v>
      </c>
      <c r="W93" s="140">
        <f>G93*V93</f>
        <v>1974.9767699748897</v>
      </c>
      <c r="X93" s="579">
        <f>W93/$E$6</f>
        <v>0.26540768909839657</v>
      </c>
      <c r="Y93" s="579">
        <f>W93/($E$7/100)</f>
        <v>0.25448035338069941</v>
      </c>
      <c r="AB93"/>
      <c r="AD93" s="156">
        <f>2020.8/W93</f>
        <v>1.0232019083574806</v>
      </c>
      <c r="AE93" s="579">
        <f t="shared" si="128"/>
        <v>2020.8000000000002</v>
      </c>
      <c r="AF93" s="579">
        <f t="shared" si="120"/>
        <v>0.27174804674367631</v>
      </c>
      <c r="AG93" s="579">
        <f t="shared" si="121"/>
        <v>0.25255422454680093</v>
      </c>
      <c r="AJ93" s="156">
        <f>141.9/135</f>
        <v>1.0511111111111111</v>
      </c>
      <c r="AK93" s="140">
        <f t="shared" si="129"/>
        <v>2124.0853333333334</v>
      </c>
      <c r="AL93" s="579">
        <f t="shared" si="122"/>
        <v>0.28563739135501975</v>
      </c>
      <c r="AM93" s="579">
        <f t="shared" si="123"/>
        <v>0.26546255157919296</v>
      </c>
      <c r="AP93" s="156"/>
      <c r="AQ93" s="140">
        <f t="shared" si="130"/>
        <v>0</v>
      </c>
      <c r="AR93" s="579">
        <f t="shared" si="124"/>
        <v>0</v>
      </c>
      <c r="AS93" s="579">
        <f t="shared" si="125"/>
        <v>0</v>
      </c>
    </row>
    <row r="94" spans="1:46" ht="15.75" hidden="1">
      <c r="B94" s="26"/>
      <c r="C94" s="27" t="s">
        <v>6</v>
      </c>
      <c r="D94" s="27"/>
      <c r="E94" s="76"/>
      <c r="F94" s="77"/>
      <c r="G94" s="78">
        <v>12763.281427777778</v>
      </c>
      <c r="H94" s="104"/>
      <c r="J94" s="189">
        <f t="shared" si="119"/>
        <v>1.9025660822591033</v>
      </c>
      <c r="L94" s="80">
        <v>1.7151963914502408</v>
      </c>
      <c r="M94" s="80">
        <v>1.6445785172852956</v>
      </c>
      <c r="N94" s="202">
        <f>G94/$N$9</f>
        <v>8.6888273655336811E-3</v>
      </c>
      <c r="P94" s="160"/>
      <c r="Q94" s="161">
        <f>SUM(Q91:Q93)</f>
        <v>49114.10616724196</v>
      </c>
      <c r="R94" s="594">
        <f>Q94/$E$6</f>
        <v>6.600209996468327</v>
      </c>
      <c r="S94" s="594">
        <f>Q94/($E$7/100)</f>
        <v>6.32846688803121</v>
      </c>
      <c r="T94" s="415">
        <f>Q94/T$9</f>
        <v>3.1272236616305273E-2</v>
      </c>
      <c r="V94" s="160"/>
      <c r="W94" s="161">
        <f>SUM(W91:W93)</f>
        <v>13592.842317693323</v>
      </c>
      <c r="X94" s="594">
        <f>W94/$E$6</f>
        <v>1.8266771147205676</v>
      </c>
      <c r="Y94" s="594">
        <f>W94/($E$7/100)</f>
        <v>1.7514693686744993</v>
      </c>
      <c r="Z94" s="415">
        <f>W94/Z$9</f>
        <v>8.5279414076004714E-3</v>
      </c>
      <c r="AB94"/>
      <c r="AD94" s="160"/>
      <c r="AE94" s="594">
        <f>SUM(AE91:AE93)</f>
        <v>14148.052157503371</v>
      </c>
      <c r="AF94" s="594">
        <f>AE94/$AB$6</f>
        <v>1.9025660822591033</v>
      </c>
      <c r="AG94" s="594">
        <f>AE94/($AB$7/100)</f>
        <v>1.7681860359689021</v>
      </c>
      <c r="AH94" s="415">
        <f>AE94/AH$9</f>
        <v>8.4119207667923395E-3</v>
      </c>
      <c r="AJ94" s="160"/>
      <c r="AK94" s="161">
        <f>SUM(AK91:AK93)</f>
        <v>14622.073909750645</v>
      </c>
      <c r="AL94" s="594">
        <f>AK94/$AB$6</f>
        <v>1.9663103841629095</v>
      </c>
      <c r="AM94" s="594">
        <f>AK94/($AB$7/100)</f>
        <v>1.8274280173906785</v>
      </c>
      <c r="AN94" s="415">
        <f>AK94/AN$9</f>
        <v>7.5137734068750845E-3</v>
      </c>
      <c r="AP94" s="160"/>
      <c r="AQ94" s="161">
        <f>SUM(AQ91:AQ93)</f>
        <v>0</v>
      </c>
      <c r="AR94" s="594">
        <f>AQ94/$AB$6</f>
        <v>0</v>
      </c>
      <c r="AS94" s="594">
        <f>AQ94/($AB$7/100)</f>
        <v>0</v>
      </c>
      <c r="AT94" s="415">
        <f>AQ94/AT$9</f>
        <v>0</v>
      </c>
    </row>
    <row r="95" spans="1:46" ht="15.75" hidden="1">
      <c r="C95" s="41"/>
      <c r="D95" s="41"/>
      <c r="E95" s="28"/>
      <c r="F95" s="41"/>
      <c r="G95" s="28"/>
      <c r="H95" s="112"/>
      <c r="J95" s="184"/>
      <c r="L95" s="28"/>
      <c r="M95" s="28"/>
      <c r="N95" s="147"/>
      <c r="AB95"/>
    </row>
    <row r="96" spans="1:46" ht="15.75" hidden="1">
      <c r="A96" s="21"/>
      <c r="B96" s="17">
        <v>12</v>
      </c>
      <c r="C96" s="18" t="s">
        <v>22</v>
      </c>
      <c r="D96" s="18" t="s">
        <v>65</v>
      </c>
      <c r="E96" s="18"/>
      <c r="F96" s="18" t="s">
        <v>66</v>
      </c>
      <c r="G96" s="68" t="s">
        <v>67</v>
      </c>
      <c r="H96" s="92"/>
      <c r="J96" s="186" t="s">
        <v>88</v>
      </c>
      <c r="L96" s="69" t="s">
        <v>213</v>
      </c>
      <c r="M96" s="69" t="s">
        <v>214</v>
      </c>
      <c r="N96" s="141" t="s">
        <v>85</v>
      </c>
      <c r="Q96" s="69" t="s">
        <v>67</v>
      </c>
      <c r="R96" s="69" t="s">
        <v>213</v>
      </c>
      <c r="S96" s="69" t="s">
        <v>214</v>
      </c>
      <c r="T96" s="141" t="s">
        <v>85</v>
      </c>
      <c r="W96" s="69" t="s">
        <v>67</v>
      </c>
      <c r="X96" s="69" t="s">
        <v>213</v>
      </c>
      <c r="Y96" s="69" t="s">
        <v>214</v>
      </c>
      <c r="Z96" s="141" t="s">
        <v>85</v>
      </c>
      <c r="AB96"/>
      <c r="AE96" s="69" t="s">
        <v>67</v>
      </c>
      <c r="AF96" s="69" t="s">
        <v>213</v>
      </c>
      <c r="AG96" s="69" t="s">
        <v>214</v>
      </c>
      <c r="AH96" s="141" t="s">
        <v>85</v>
      </c>
      <c r="AK96" s="69" t="s">
        <v>67</v>
      </c>
      <c r="AL96" s="69" t="s">
        <v>213</v>
      </c>
      <c r="AM96" s="69" t="s">
        <v>214</v>
      </c>
      <c r="AN96" s="141" t="s">
        <v>85</v>
      </c>
      <c r="AQ96" s="69" t="s">
        <v>67</v>
      </c>
      <c r="AR96" s="69" t="s">
        <v>213</v>
      </c>
      <c r="AS96" s="69" t="s">
        <v>214</v>
      </c>
      <c r="AT96" s="141" t="s">
        <v>85</v>
      </c>
    </row>
    <row r="97" spans="1:46" ht="15.75" hidden="1">
      <c r="B97" s="22"/>
      <c r="C97" s="30" t="s">
        <v>237</v>
      </c>
      <c r="D97" s="30">
        <v>363.96134469696966</v>
      </c>
      <c r="E97" s="107"/>
      <c r="F97" s="113">
        <v>34.54999999999999</v>
      </c>
      <c r="G97" s="72">
        <v>12574.864459280299</v>
      </c>
      <c r="H97" s="83"/>
      <c r="J97" s="194">
        <f>IF($D$2=$L$2,L97,IF($D$2=$M$2,M97,IF($D$2=$N$2,N97,IF($D$2=$R$2,R97,IF($D$2=$S$2,S97,IF($D$2=$T$2,T97,IF($D$2=$X$2,X97,IF($D$2=$Y$2,Y97,IF($D$2=$Z$2,Z97,IF($D$2=$AF$2,AF97,IF($D$2=$AG$2,AG97,IF($D$2=$AH$2,AH97,IF($D$2=$AL$2,AL97,IF($D$2=$AM$2,AM97,IF($D$2=$AN$2,AN97,IF($D$2=$AR$2,AR97,IF($D$2=$AS$2,AS97,IF($D$2=$AT$2,AT97))))))))))))))))))</f>
        <v>2.8999139356938262</v>
      </c>
      <c r="L97" s="114">
        <v>1.6898759355562321</v>
      </c>
      <c r="M97" s="114">
        <v>1.620300552371932</v>
      </c>
      <c r="N97" s="143"/>
      <c r="P97" s="162">
        <v>43.13</v>
      </c>
      <c r="Q97" s="140">
        <f>D97*P97</f>
        <v>15697.652796780303</v>
      </c>
      <c r="R97" s="579">
        <f>Q97/$E$6</f>
        <v>2.1095325354714998</v>
      </c>
      <c r="S97" s="579">
        <f>Q97/($E$7/100)</f>
        <v>2.0226790976498248</v>
      </c>
      <c r="V97" s="162">
        <v>32.630000000000003</v>
      </c>
      <c r="W97" s="140">
        <f>$D97*V97</f>
        <v>11876.058677462121</v>
      </c>
      <c r="X97" s="579">
        <f>W97/$E$6</f>
        <v>1.5959667663444246</v>
      </c>
      <c r="Y97" s="579">
        <f>W97/($E$7/100)</f>
        <v>1.5302578009810754</v>
      </c>
      <c r="AB97"/>
      <c r="AD97" s="162">
        <f>21564.63/D97</f>
        <v>59.249781094073278</v>
      </c>
      <c r="AE97" s="579">
        <f>$D97*AD97</f>
        <v>21564.63</v>
      </c>
      <c r="AF97" s="579">
        <f t="shared" ref="AF97:AF98" si="131">AE97/$AB$6</f>
        <v>2.8999139356938262</v>
      </c>
      <c r="AG97" s="579">
        <f t="shared" ref="AG97:AG98" si="132">AE97/($AB$7/100)</f>
        <v>2.695090264889489</v>
      </c>
      <c r="AJ97" s="162"/>
      <c r="AK97" s="140">
        <v>19835.82</v>
      </c>
      <c r="AL97" s="579">
        <f t="shared" ref="AL97:AL98" si="133">AK97/$AB$6</f>
        <v>2.667431383887148</v>
      </c>
      <c r="AM97" s="579">
        <f t="shared" ref="AM97:AM98" si="134">AK97/($AB$7/100)</f>
        <v>2.4790281761430739</v>
      </c>
      <c r="AP97" s="162"/>
      <c r="AQ97" s="140">
        <f>$D97*AP97</f>
        <v>0</v>
      </c>
      <c r="AR97" s="579">
        <f t="shared" ref="AR97:AR98" si="135">AQ97/$AB$6</f>
        <v>0</v>
      </c>
      <c r="AS97" s="579">
        <f t="shared" ref="AS97:AS98" si="136">AQ97/($AB$7/100)</f>
        <v>0</v>
      </c>
    </row>
    <row r="98" spans="1:46" ht="15.75" hidden="1">
      <c r="B98" s="24"/>
      <c r="C98" s="25" t="s">
        <v>238</v>
      </c>
      <c r="D98" s="25">
        <v>776082.21763994079</v>
      </c>
      <c r="E98" s="109"/>
      <c r="F98" s="412">
        <v>2.9399999999999996E-2</v>
      </c>
      <c r="G98" s="74">
        <v>22816.817198614255</v>
      </c>
      <c r="H98" s="83"/>
      <c r="J98" s="188">
        <f t="shared" ref="J98:J99" si="137">IF($D$2=$L$2,L98,IF($D$2=$M$2,M98,IF($D$2=$N$2,N98,IF($D$2=$R$2,R98,IF($D$2=$S$2,S98,IF($D$2=$T$2,T98,IF($D$2=$X$2,X98,IF($D$2=$Y$2,Y98,IF($D$2=$Z$2,Z98,IF($D$2=$AF$2,AF98,IF($D$2=$AG$2,AG98,IF($D$2=$AH$2,AH98,IF($D$2=$AL$2,AL98,IF($D$2=$AM$2,AM98,IF($D$2=$AN$2,AN98,IF($D$2=$AR$2,AR98,IF($D$2=$AS$2,AS98,IF($D$2=$AT$2,AT98))))))))))))))))))</f>
        <v>4.9065543348170459</v>
      </c>
      <c r="L98" s="114">
        <v>3.0662430147680948</v>
      </c>
      <c r="M98" s="114">
        <v>2.94</v>
      </c>
      <c r="N98" s="143"/>
      <c r="P98" s="162">
        <v>3.8199999999999998E-2</v>
      </c>
      <c r="Q98" s="140">
        <f>D98*P98</f>
        <v>29646.340713845737</v>
      </c>
      <c r="R98" s="579">
        <f>Q98/$E$6</f>
        <v>3.9840300395966404</v>
      </c>
      <c r="S98" s="579">
        <f>Q98/($E$7/100)</f>
        <v>3.8200000000000003</v>
      </c>
      <c r="V98" s="162">
        <f>19092.72/776127</f>
        <v>2.4599994588514511E-2</v>
      </c>
      <c r="W98" s="140">
        <f>$D98*V98</f>
        <v>19091.618354184884</v>
      </c>
      <c r="X98" s="579">
        <f>W98/$E$6</f>
        <v>2.5656313459308016</v>
      </c>
      <c r="Y98" s="579">
        <f>W98/($E$7/100)</f>
        <v>2.4599994588514513</v>
      </c>
      <c r="AB98" s="162">
        <v>800145</v>
      </c>
      <c r="AC98" s="140"/>
      <c r="AD98" s="162">
        <f>36486.61/800145</f>
        <v>4.5599997500453043E-2</v>
      </c>
      <c r="AE98" s="579">
        <f>$AB98*AD98</f>
        <v>36486.61</v>
      </c>
      <c r="AF98" s="579">
        <f t="shared" si="131"/>
        <v>4.9065543348170459</v>
      </c>
      <c r="AG98" s="579">
        <f t="shared" si="132"/>
        <v>4.5599997500453044</v>
      </c>
      <c r="AJ98" s="162"/>
      <c r="AK98" s="140">
        <v>33526.080000000002</v>
      </c>
      <c r="AL98" s="579">
        <f t="shared" si="133"/>
        <v>4.5084356467598132</v>
      </c>
      <c r="AM98" s="579">
        <f t="shared" si="134"/>
        <v>4.1900005623980654</v>
      </c>
      <c r="AP98" s="162"/>
      <c r="AQ98" s="140">
        <f>$D98*AP98</f>
        <v>0</v>
      </c>
      <c r="AR98" s="579">
        <f t="shared" si="135"/>
        <v>0</v>
      </c>
      <c r="AS98" s="579">
        <f t="shared" si="136"/>
        <v>0</v>
      </c>
    </row>
    <row r="99" spans="1:46" ht="15.75" hidden="1">
      <c r="B99" s="31"/>
      <c r="C99" s="27" t="s">
        <v>6</v>
      </c>
      <c r="D99" s="27"/>
      <c r="E99" s="103"/>
      <c r="F99" s="103"/>
      <c r="G99" s="78">
        <v>35391.681657894558</v>
      </c>
      <c r="H99" s="104"/>
      <c r="J99" s="189">
        <f t="shared" si="137"/>
        <v>7.806468270510873</v>
      </c>
      <c r="L99" s="80">
        <v>4.7561189503243266</v>
      </c>
      <c r="M99" s="80">
        <v>4.560300552371932</v>
      </c>
      <c r="N99" s="202">
        <f>G99/$N$9</f>
        <v>2.4093507131489444E-2</v>
      </c>
      <c r="P99" s="160"/>
      <c r="Q99" s="161">
        <f>SUM(Q97:Q98)</f>
        <v>45343.993510626038</v>
      </c>
      <c r="R99" s="594">
        <f>Q99/$E$6</f>
        <v>6.0935625750681401</v>
      </c>
      <c r="S99" s="594">
        <f>Q99/($E$7/100)</f>
        <v>5.8426790976498246</v>
      </c>
      <c r="T99" s="415">
        <f>Q99/T$9</f>
        <v>2.8871707231400024E-2</v>
      </c>
      <c r="V99" s="160"/>
      <c r="W99" s="161">
        <f>SUM(W97:W98)</f>
        <v>30967.677031647007</v>
      </c>
      <c r="X99" s="594">
        <f>W99/$E$6</f>
        <v>4.1615981122752261</v>
      </c>
      <c r="Y99" s="594">
        <f>W99/($E$7/100)</f>
        <v>3.9902572598325272</v>
      </c>
      <c r="Z99" s="415">
        <f>W99/Z$9</f>
        <v>1.9428647010171173E-2</v>
      </c>
      <c r="AB99"/>
      <c r="AD99" s="160"/>
      <c r="AE99" s="594">
        <f>SUM(AE97:AE98)</f>
        <v>58051.240000000005</v>
      </c>
      <c r="AF99" s="594">
        <f>AE99/$AB$6</f>
        <v>7.806468270510873</v>
      </c>
      <c r="AG99" s="594">
        <f>AE99/($AB$7/100)</f>
        <v>7.2550900149347939</v>
      </c>
      <c r="AH99" s="415">
        <f>AE99/AH$9</f>
        <v>3.4515170417651168E-2</v>
      </c>
      <c r="AJ99" s="160"/>
      <c r="AK99" s="161">
        <f>SUM(AK97:AK98)</f>
        <v>53361.9</v>
      </c>
      <c r="AL99" s="594">
        <f>AK99/$AB$6</f>
        <v>7.1758670306469616</v>
      </c>
      <c r="AM99" s="594">
        <f>AK99/($AB$7/100)</f>
        <v>6.6690287385411393</v>
      </c>
      <c r="AN99" s="415">
        <f>AK99/AN$9</f>
        <v>2.7420817842601447E-2</v>
      </c>
      <c r="AP99" s="160"/>
      <c r="AQ99" s="161">
        <f>SUM(AQ97:AQ98)</f>
        <v>0</v>
      </c>
      <c r="AR99" s="594">
        <f>AQ99/$AB$6</f>
        <v>0</v>
      </c>
      <c r="AS99" s="594">
        <f>AQ99/($AB$7/100)</f>
        <v>0</v>
      </c>
      <c r="AT99" s="415">
        <f>AQ99/AT$9</f>
        <v>0</v>
      </c>
    </row>
    <row r="100" spans="1:46" ht="15.75" hidden="1">
      <c r="B100" s="28"/>
      <c r="C100" s="42"/>
      <c r="D100" s="42"/>
      <c r="E100" s="97"/>
      <c r="F100" s="98"/>
      <c r="G100" s="97"/>
      <c r="H100" s="97"/>
      <c r="J100" s="195"/>
      <c r="L100" s="97"/>
      <c r="M100" s="97"/>
      <c r="N100" s="148"/>
      <c r="AB100"/>
    </row>
    <row r="101" spans="1:46" ht="15.75" hidden="1">
      <c r="A101" s="21"/>
      <c r="B101" s="17">
        <v>13</v>
      </c>
      <c r="C101" s="18" t="s">
        <v>45</v>
      </c>
      <c r="D101" s="18" t="s">
        <v>65</v>
      </c>
      <c r="E101" s="18"/>
      <c r="F101" s="18" t="s">
        <v>66</v>
      </c>
      <c r="G101" s="68" t="s">
        <v>67</v>
      </c>
      <c r="H101" s="115"/>
      <c r="J101" s="186" t="s">
        <v>88</v>
      </c>
      <c r="L101" s="69" t="s">
        <v>213</v>
      </c>
      <c r="M101" s="69" t="s">
        <v>214</v>
      </c>
      <c r="N101" s="141" t="s">
        <v>85</v>
      </c>
      <c r="Q101" s="69" t="s">
        <v>67</v>
      </c>
      <c r="R101" s="69" t="s">
        <v>213</v>
      </c>
      <c r="S101" s="69" t="s">
        <v>214</v>
      </c>
      <c r="T101" s="141" t="s">
        <v>85</v>
      </c>
      <c r="W101" s="69" t="s">
        <v>67</v>
      </c>
      <c r="X101" s="69" t="s">
        <v>213</v>
      </c>
      <c r="Y101" s="69" t="s">
        <v>214</v>
      </c>
      <c r="Z101" s="141" t="s">
        <v>85</v>
      </c>
      <c r="AB101"/>
      <c r="AE101" s="69" t="s">
        <v>67</v>
      </c>
      <c r="AF101" s="69" t="s">
        <v>213</v>
      </c>
      <c r="AG101" s="69" t="s">
        <v>214</v>
      </c>
      <c r="AH101" s="141" t="s">
        <v>85</v>
      </c>
      <c r="AK101" s="69" t="s">
        <v>67</v>
      </c>
      <c r="AL101" s="69" t="s">
        <v>213</v>
      </c>
      <c r="AM101" s="69" t="s">
        <v>214</v>
      </c>
      <c r="AN101" s="141" t="s">
        <v>85</v>
      </c>
      <c r="AQ101" s="69" t="s">
        <v>67</v>
      </c>
      <c r="AR101" s="69" t="s">
        <v>213</v>
      </c>
      <c r="AS101" s="69" t="s">
        <v>214</v>
      </c>
      <c r="AT101" s="141" t="s">
        <v>85</v>
      </c>
    </row>
    <row r="102" spans="1:46" hidden="1">
      <c r="B102" s="22"/>
      <c r="C102" s="23" t="s">
        <v>239</v>
      </c>
      <c r="D102" s="23">
        <v>1.5814285714285714</v>
      </c>
      <c r="E102" s="116"/>
      <c r="F102" s="108">
        <v>28.1</v>
      </c>
      <c r="G102" s="72">
        <v>44.438142857142857</v>
      </c>
      <c r="H102" s="83"/>
      <c r="J102" s="188">
        <f t="shared" ref="J102:J110" si="138">IF($D$2=$L$2,L102,IF($D$2=$M$2,M102,IF($D$2=$N$2,N102,IF($D$2=$R$2,R102,IF($D$2=$S$2,S102,IF($D$2=$T$2,T102,IF($D$2=$X$2,X102,IF($D$2=$Y$2,Y102,IF($D$2=$Z$2,Z102,IF($D$2=$AF$2,AF102,IF($D$2=$AG$2,AG102,IF($D$2=$AH$2,AH102,IF($D$2=$AL$2,AL102,IF($D$2=$AM$2,AM102,IF($D$2=$AN$2,AN102,IF($D$2=$AR$2,AR102,IF($D$2=$AS$2,AS102,IF($D$2=$AT$2,AT102))))))))))))))))))</f>
        <v>6.7183949006898594E-3</v>
      </c>
      <c r="L102" s="75">
        <v>5.9718296350840918E-3</v>
      </c>
      <c r="M102" s="75">
        <v>5.725958132667807E-3</v>
      </c>
      <c r="N102" s="143"/>
      <c r="P102" s="162">
        <v>26.8</v>
      </c>
      <c r="Q102" s="140">
        <f>D102*P102</f>
        <v>42.382285714285715</v>
      </c>
      <c r="R102" s="579">
        <f t="shared" ref="R102:R107" si="139">Q102/$E$6</f>
        <v>5.6955528192261084E-3</v>
      </c>
      <c r="S102" s="579">
        <f t="shared" ref="S102:S110" si="140">Q102/($E$7/100)</f>
        <v>5.4610561549999015E-3</v>
      </c>
      <c r="V102" s="162">
        <v>37.729999999999997</v>
      </c>
      <c r="W102" s="140">
        <f>$D102*V102</f>
        <v>59.667299999999997</v>
      </c>
      <c r="X102" s="579">
        <f t="shared" ref="X102:X107" si="141">W102/$E$6</f>
        <v>8.0184032787089955E-3</v>
      </c>
      <c r="Y102" s="579">
        <f t="shared" ref="Y102:Y110" si="142">W102/($E$7/100)</f>
        <v>7.6882704749308313E-3</v>
      </c>
      <c r="AB102"/>
      <c r="AD102" s="162">
        <f>49.96/D102</f>
        <v>31.591689250225837</v>
      </c>
      <c r="AE102" s="579">
        <f>$D102*AD102</f>
        <v>49.96</v>
      </c>
      <c r="AF102" s="579">
        <f t="shared" ref="AF102:AF109" si="143">AE102/$AB$6</f>
        <v>6.7183949006898594E-3</v>
      </c>
      <c r="AG102" s="579">
        <f t="shared" ref="AG102:AG109" si="144">AE102/($AB$7/100)</f>
        <v>6.2438682988708296E-3</v>
      </c>
      <c r="AJ102" s="162"/>
      <c r="AK102" s="140">
        <v>16.7</v>
      </c>
      <c r="AL102" s="579">
        <f t="shared" ref="AL102:AL109" si="145">AK102/$AB$6</f>
        <v>2.2457404892217902E-3</v>
      </c>
      <c r="AM102" s="579">
        <f t="shared" ref="AM102:AM109" si="146">AK102/($AB$7/100)</f>
        <v>2.0871217091902091E-3</v>
      </c>
      <c r="AP102" s="162"/>
      <c r="AQ102" s="140">
        <f>$D102*AP102</f>
        <v>0</v>
      </c>
      <c r="AR102" s="579">
        <f t="shared" ref="AR102:AR109" si="147">AQ102/$AB$6</f>
        <v>0</v>
      </c>
      <c r="AS102" s="579">
        <f t="shared" ref="AS102:AS109" si="148">AQ102/($AB$7/100)</f>
        <v>0</v>
      </c>
    </row>
    <row r="103" spans="1:46" hidden="1">
      <c r="B103" s="24"/>
      <c r="C103" s="43" t="s">
        <v>240</v>
      </c>
      <c r="D103" s="43">
        <v>6.0426392496392483</v>
      </c>
      <c r="E103" s="408"/>
      <c r="F103" s="110">
        <v>81.13000000000001</v>
      </c>
      <c r="G103" s="74">
        <v>490.23932232323227</v>
      </c>
      <c r="H103" s="83"/>
      <c r="I103" s="57"/>
      <c r="J103" s="188">
        <f t="shared" si="138"/>
        <v>3.4950176835254088E-2</v>
      </c>
      <c r="K103" s="57"/>
      <c r="L103" s="75">
        <v>6.5880919523234355E-2</v>
      </c>
      <c r="M103" s="75">
        <v>6.3168477666457279E-2</v>
      </c>
      <c r="N103" s="143"/>
      <c r="P103" s="162">
        <v>78.12</v>
      </c>
      <c r="Q103" s="140">
        <f>D103*P103</f>
        <v>472.0509781818181</v>
      </c>
      <c r="R103" s="579">
        <f t="shared" si="139"/>
        <v>6.3436674881733851E-2</v>
      </c>
      <c r="S103" s="579">
        <f t="shared" si="140"/>
        <v>6.0824867192205617E-2</v>
      </c>
      <c r="V103" s="162">
        <v>67.19</v>
      </c>
      <c r="W103" s="140">
        <f>$D103*V103</f>
        <v>406.00493118326108</v>
      </c>
      <c r="X103" s="579">
        <f t="shared" si="141"/>
        <v>5.4561062279873243E-2</v>
      </c>
      <c r="Y103" s="579">
        <f t="shared" si="142"/>
        <v>5.2314680320587496E-2</v>
      </c>
      <c r="AB103"/>
      <c r="AD103" s="162">
        <f>259.9/D103</f>
        <v>43.011007154781957</v>
      </c>
      <c r="AE103" s="579">
        <f>$D103*AD103</f>
        <v>259.89999999999998</v>
      </c>
      <c r="AF103" s="579">
        <f t="shared" si="143"/>
        <v>3.4950176835254088E-2</v>
      </c>
      <c r="AG103" s="579">
        <f t="shared" si="144"/>
        <v>3.2481612707696728E-2</v>
      </c>
      <c r="AJ103" s="162"/>
      <c r="AK103" s="140">
        <v>30.56</v>
      </c>
      <c r="AL103" s="579">
        <f t="shared" si="145"/>
        <v>4.1095706197974797E-3</v>
      </c>
      <c r="AM103" s="579">
        <f t="shared" si="146"/>
        <v>3.8193077504702273E-3</v>
      </c>
      <c r="AP103" s="162"/>
      <c r="AQ103" s="140">
        <f>$D103*AP103</f>
        <v>0</v>
      </c>
      <c r="AR103" s="579">
        <f t="shared" si="147"/>
        <v>0</v>
      </c>
      <c r="AS103" s="579">
        <f t="shared" si="148"/>
        <v>0</v>
      </c>
    </row>
    <row r="104" spans="1:46" hidden="1">
      <c r="B104" s="24"/>
      <c r="C104" s="43" t="s">
        <v>241</v>
      </c>
      <c r="D104" s="43">
        <v>4.3894047619047623</v>
      </c>
      <c r="E104" s="111"/>
      <c r="F104" s="110">
        <v>62.07</v>
      </c>
      <c r="G104" s="74">
        <v>272.45035357142859</v>
      </c>
      <c r="H104" s="83"/>
      <c r="I104" s="57"/>
      <c r="J104" s="188">
        <f t="shared" si="138"/>
        <v>2.0308486747441606E-2</v>
      </c>
      <c r="K104" s="57"/>
      <c r="L104" s="75">
        <v>3.6613300892826856E-2</v>
      </c>
      <c r="M104" s="75">
        <v>3.5105862159804123E-2</v>
      </c>
      <c r="N104" s="143"/>
      <c r="P104" s="162">
        <v>54.99</v>
      </c>
      <c r="Q104" s="140">
        <f t="shared" ref="Q104:Q106" si="149">D104*P104</f>
        <v>241.37336785714288</v>
      </c>
      <c r="R104" s="579">
        <f t="shared" si="139"/>
        <v>3.2437013309111473E-2</v>
      </c>
      <c r="S104" s="579">
        <f t="shared" si="140"/>
        <v>3.1101520221808097E-2</v>
      </c>
      <c r="V104" s="162">
        <v>48.3</v>
      </c>
      <c r="W104" s="140">
        <f>$D104*V104</f>
        <v>212.00825</v>
      </c>
      <c r="X104" s="579">
        <f t="shared" si="141"/>
        <v>2.8490775465177014E-2</v>
      </c>
      <c r="Y104" s="579">
        <f t="shared" si="142"/>
        <v>2.7317756441413547E-2</v>
      </c>
      <c r="AB104"/>
      <c r="AD104" s="162">
        <f>151.02/D104</f>
        <v>34.405576198096064</v>
      </c>
      <c r="AE104" s="579">
        <f>$D104*AD104</f>
        <v>151.02000000000001</v>
      </c>
      <c r="AF104" s="579">
        <f t="shared" si="143"/>
        <v>2.0308486747441606E-2</v>
      </c>
      <c r="AG104" s="579">
        <f t="shared" si="144"/>
        <v>1.8874079073167991E-2</v>
      </c>
      <c r="AJ104" s="162"/>
      <c r="AK104" s="140">
        <v>83.15</v>
      </c>
      <c r="AL104" s="579">
        <f t="shared" si="145"/>
        <v>1.1181636028670172E-2</v>
      </c>
      <c r="AM104" s="579">
        <f t="shared" si="146"/>
        <v>1.0391866474201553E-2</v>
      </c>
      <c r="AP104" s="162"/>
      <c r="AQ104" s="140">
        <f>$D104*AP104</f>
        <v>0</v>
      </c>
      <c r="AR104" s="579">
        <f t="shared" si="147"/>
        <v>0</v>
      </c>
      <c r="AS104" s="579">
        <f t="shared" si="148"/>
        <v>0</v>
      </c>
    </row>
    <row r="105" spans="1:46" ht="15.75" hidden="1">
      <c r="B105" s="24"/>
      <c r="C105" s="44" t="s">
        <v>242</v>
      </c>
      <c r="D105" s="44">
        <v>2.2550389610389607</v>
      </c>
      <c r="E105" s="64"/>
      <c r="F105" s="83">
        <v>74.010000000000019</v>
      </c>
      <c r="G105" s="74">
        <v>166.89543350649353</v>
      </c>
      <c r="H105" s="83"/>
      <c r="I105" s="57"/>
      <c r="J105" s="188">
        <f t="shared" si="138"/>
        <v>8.6104648817288167E-3</v>
      </c>
      <c r="K105" s="57"/>
      <c r="L105" s="75">
        <v>2.2428279664573843E-2</v>
      </c>
      <c r="M105" s="75">
        <v>2.1504865040461965E-2</v>
      </c>
      <c r="N105" s="143"/>
      <c r="P105" s="162">
        <v>73.400000000000006</v>
      </c>
      <c r="Q105" s="140">
        <f t="shared" si="149"/>
        <v>165.51985974025973</v>
      </c>
      <c r="R105" s="579">
        <f t="shared" si="139"/>
        <v>2.2243422880417779E-2</v>
      </c>
      <c r="S105" s="579">
        <f t="shared" si="140"/>
        <v>2.1327619159166433E-2</v>
      </c>
      <c r="V105" s="162">
        <v>54.81</v>
      </c>
      <c r="W105" s="140">
        <f>$D105*V105</f>
        <v>123.59868545454545</v>
      </c>
      <c r="X105" s="579">
        <f t="shared" si="141"/>
        <v>1.660983662228472E-2</v>
      </c>
      <c r="Y105" s="579">
        <f t="shared" si="142"/>
        <v>1.5925978284930684E-2</v>
      </c>
      <c r="AB105"/>
      <c r="AD105" s="162">
        <f>64.03/D105</f>
        <v>28.394187908176786</v>
      </c>
      <c r="AE105" s="579">
        <f>$D105*AD105</f>
        <v>64.03</v>
      </c>
      <c r="AF105" s="579">
        <f t="shared" si="143"/>
        <v>8.6104648817288167E-3</v>
      </c>
      <c r="AG105" s="579">
        <f t="shared" si="144"/>
        <v>8.0022995832005461E-3</v>
      </c>
      <c r="AJ105" s="162"/>
      <c r="AK105" s="140">
        <v>106.97</v>
      </c>
      <c r="AL105" s="579">
        <f t="shared" si="145"/>
        <v>1.4384841924075145E-2</v>
      </c>
      <c r="AM105" s="579">
        <f t="shared" si="146"/>
        <v>1.3368826900124352E-2</v>
      </c>
      <c r="AP105" s="162"/>
      <c r="AQ105" s="140">
        <f>$D105*AP105</f>
        <v>0</v>
      </c>
      <c r="AR105" s="579">
        <f t="shared" si="147"/>
        <v>0</v>
      </c>
      <c r="AS105" s="579">
        <f t="shared" si="148"/>
        <v>0</v>
      </c>
    </row>
    <row r="106" spans="1:46" ht="15.75" hidden="1">
      <c r="B106" s="24"/>
      <c r="C106" s="44" t="s">
        <v>243</v>
      </c>
      <c r="D106" s="44">
        <v>9.9350649350649356E-2</v>
      </c>
      <c r="E106" s="64"/>
      <c r="F106" s="83">
        <v>106.76</v>
      </c>
      <c r="G106" s="74">
        <v>10.606675324675326</v>
      </c>
      <c r="H106" s="83"/>
      <c r="J106" s="188">
        <f t="shared" si="138"/>
        <v>9.3729408442370531E-4</v>
      </c>
      <c r="L106" s="75">
        <v>1.4253804043350114E-3</v>
      </c>
      <c r="M106" s="75">
        <v>1.3666948016062181E-3</v>
      </c>
      <c r="N106" s="143"/>
      <c r="P106" s="162">
        <v>103.94</v>
      </c>
      <c r="Q106" s="140">
        <f t="shared" si="149"/>
        <v>10.326506493506495</v>
      </c>
      <c r="R106" s="579">
        <f t="shared" si="139"/>
        <v>1.3877298541268368E-3</v>
      </c>
      <c r="S106" s="579">
        <f t="shared" si="140"/>
        <v>1.3305943956439708E-3</v>
      </c>
      <c r="V106" s="162">
        <v>94.38</v>
      </c>
      <c r="W106" s="140">
        <f>$D106*V106</f>
        <v>9.3767142857142858</v>
      </c>
      <c r="X106" s="579">
        <f t="shared" si="141"/>
        <v>1.2600918186693366E-3</v>
      </c>
      <c r="Y106" s="579">
        <f t="shared" si="142"/>
        <v>1.2082114591194723E-3</v>
      </c>
      <c r="AB106"/>
      <c r="AD106" s="162">
        <f>6.97/D106</f>
        <v>70.155555555555551</v>
      </c>
      <c r="AE106" s="579">
        <f>$D106*AD106</f>
        <v>6.97</v>
      </c>
      <c r="AF106" s="579">
        <f t="shared" si="143"/>
        <v>9.3729408442370531E-4</v>
      </c>
      <c r="AG106" s="579">
        <f t="shared" si="144"/>
        <v>8.7109211455423704E-4</v>
      </c>
      <c r="AJ106" s="162"/>
      <c r="AK106" s="140">
        <v>6.97</v>
      </c>
      <c r="AL106" s="579">
        <f t="shared" si="145"/>
        <v>9.3729408442370531E-4</v>
      </c>
      <c r="AM106" s="579">
        <f t="shared" si="146"/>
        <v>8.7109211455423704E-4</v>
      </c>
      <c r="AP106" s="162"/>
      <c r="AQ106" s="140">
        <f>$D106*AP106</f>
        <v>0</v>
      </c>
      <c r="AR106" s="579">
        <f t="shared" si="147"/>
        <v>0</v>
      </c>
      <c r="AS106" s="579">
        <f t="shared" si="148"/>
        <v>0</v>
      </c>
    </row>
    <row r="107" spans="1:46" ht="15.75" hidden="1">
      <c r="B107" s="24"/>
      <c r="C107" s="44" t="s">
        <v>244</v>
      </c>
      <c r="D107" s="44"/>
      <c r="E107" s="64"/>
      <c r="F107" s="83"/>
      <c r="G107" s="74">
        <v>1063.4103404040402</v>
      </c>
      <c r="H107" s="83"/>
      <c r="J107" s="188">
        <f t="shared" si="138"/>
        <v>0.14300261425763353</v>
      </c>
      <c r="L107" s="75">
        <v>0.14290663328336969</v>
      </c>
      <c r="M107" s="75">
        <v>0.13702289734686382</v>
      </c>
      <c r="N107" s="143"/>
      <c r="Q107" s="140">
        <f>$G107</f>
        <v>1063.4103404040402</v>
      </c>
      <c r="R107" s="579">
        <f t="shared" si="139"/>
        <v>0.14290663328336969</v>
      </c>
      <c r="S107" s="579">
        <f t="shared" si="140"/>
        <v>0.13702289734686382</v>
      </c>
      <c r="W107" s="140">
        <f>$G107</f>
        <v>1063.4103404040402</v>
      </c>
      <c r="X107" s="579">
        <f t="shared" si="141"/>
        <v>0.14290663328336969</v>
      </c>
      <c r="Y107" s="579">
        <f t="shared" si="142"/>
        <v>0.13702289734686382</v>
      </c>
      <c r="AB107"/>
      <c r="AE107" s="579">
        <f>$G107</f>
        <v>1063.4103404040402</v>
      </c>
      <c r="AF107" s="579">
        <f t="shared" si="143"/>
        <v>0.14300261425763353</v>
      </c>
      <c r="AG107" s="579">
        <f t="shared" si="144"/>
        <v>0.13290220402602532</v>
      </c>
      <c r="AK107" s="140">
        <f>$G107</f>
        <v>1063.4103404040402</v>
      </c>
      <c r="AL107" s="579">
        <f t="shared" si="145"/>
        <v>0.14300261425763353</v>
      </c>
      <c r="AM107" s="579">
        <f t="shared" si="146"/>
        <v>0.13290220402602532</v>
      </c>
      <c r="AQ107" s="140">
        <f>$G107</f>
        <v>1063.4103404040402</v>
      </c>
      <c r="AR107" s="579">
        <f t="shared" si="147"/>
        <v>0.14300261425763353</v>
      </c>
      <c r="AS107" s="579">
        <f t="shared" si="148"/>
        <v>0.13290220402602532</v>
      </c>
    </row>
    <row r="108" spans="1:46" ht="15.75" hidden="1">
      <c r="B108" s="24"/>
      <c r="C108" s="44" t="s">
        <v>245</v>
      </c>
      <c r="D108" s="44"/>
      <c r="E108" s="64"/>
      <c r="F108" s="83"/>
      <c r="G108" s="74">
        <v>861.12941736323467</v>
      </c>
      <c r="H108" s="83"/>
      <c r="J108" s="188">
        <f t="shared" si="138"/>
        <v>0.11580079036123268</v>
      </c>
      <c r="L108" s="75">
        <v>0.11572306679836573</v>
      </c>
      <c r="M108" s="75">
        <v>0.11095852962356512</v>
      </c>
      <c r="N108" s="143"/>
      <c r="Q108" s="140">
        <f>$G108</f>
        <v>861.12941736323467</v>
      </c>
      <c r="R108" s="579">
        <f t="shared" ref="R108:R109" si="150">Q108/$E$6</f>
        <v>0.11572306679836573</v>
      </c>
      <c r="S108" s="579">
        <f t="shared" si="140"/>
        <v>0.11095852962356512</v>
      </c>
      <c r="W108" s="140">
        <f>$G108</f>
        <v>861.12941736323467</v>
      </c>
      <c r="X108" s="579">
        <f t="shared" ref="X108:X109" si="151">W108/$E$6</f>
        <v>0.11572306679836573</v>
      </c>
      <c r="Y108" s="579">
        <f t="shared" si="142"/>
        <v>0.11095852962356512</v>
      </c>
      <c r="AB108"/>
      <c r="AE108" s="579">
        <f>$G108</f>
        <v>861.12941736323467</v>
      </c>
      <c r="AF108" s="579">
        <f t="shared" si="143"/>
        <v>0.11580079036123268</v>
      </c>
      <c r="AG108" s="579">
        <f t="shared" si="144"/>
        <v>0.10762167074258225</v>
      </c>
      <c r="AK108" s="140">
        <f>$G108</f>
        <v>861.12941736323467</v>
      </c>
      <c r="AL108" s="579">
        <f t="shared" si="145"/>
        <v>0.11580079036123268</v>
      </c>
      <c r="AM108" s="579">
        <f t="shared" si="146"/>
        <v>0.10762167074258225</v>
      </c>
      <c r="AQ108" s="140">
        <f>$G108</f>
        <v>861.12941736323467</v>
      </c>
      <c r="AR108" s="579">
        <f t="shared" si="147"/>
        <v>0.11580079036123268</v>
      </c>
      <c r="AS108" s="579">
        <f t="shared" si="148"/>
        <v>0.10762167074258225</v>
      </c>
    </row>
    <row r="109" spans="1:46" ht="15.75" hidden="1">
      <c r="B109" s="24"/>
      <c r="C109" s="44" t="s">
        <v>46</v>
      </c>
      <c r="D109" s="44"/>
      <c r="E109" s="64"/>
      <c r="F109" s="83"/>
      <c r="G109" s="74">
        <v>158.74595238095236</v>
      </c>
      <c r="H109" s="83"/>
      <c r="J109" s="188">
        <f t="shared" si="138"/>
        <v>2.1347437889938863E-2</v>
      </c>
      <c r="L109" s="75">
        <v>2.133310984497724E-2</v>
      </c>
      <c r="M109" s="75">
        <v>2.0454785430298536E-2</v>
      </c>
      <c r="N109" s="143"/>
      <c r="Q109" s="140">
        <f>$G109</f>
        <v>158.74595238095236</v>
      </c>
      <c r="R109" s="579">
        <f t="shared" si="150"/>
        <v>2.133310984497724E-2</v>
      </c>
      <c r="S109" s="579">
        <f t="shared" si="140"/>
        <v>2.0454785430298536E-2</v>
      </c>
      <c r="W109" s="140">
        <f>$G109</f>
        <v>158.74595238095236</v>
      </c>
      <c r="X109" s="579">
        <f t="shared" si="151"/>
        <v>2.133310984497724E-2</v>
      </c>
      <c r="Y109" s="579">
        <f t="shared" si="142"/>
        <v>2.0454785430298536E-2</v>
      </c>
      <c r="AB109"/>
      <c r="AE109" s="579">
        <f>$G109</f>
        <v>158.74595238095236</v>
      </c>
      <c r="AF109" s="579">
        <f t="shared" si="143"/>
        <v>2.1347437889938863E-2</v>
      </c>
      <c r="AG109" s="579">
        <f t="shared" si="144"/>
        <v>1.9839648111398853E-2</v>
      </c>
      <c r="AK109" s="140">
        <f>$G109</f>
        <v>158.74595238095236</v>
      </c>
      <c r="AL109" s="579">
        <f t="shared" si="145"/>
        <v>2.1347437889938863E-2</v>
      </c>
      <c r="AM109" s="579">
        <f t="shared" si="146"/>
        <v>1.9839648111398853E-2</v>
      </c>
      <c r="AQ109" s="140">
        <f>$G109</f>
        <v>158.74595238095236</v>
      </c>
      <c r="AR109" s="579">
        <f t="shared" si="147"/>
        <v>2.1347437889938863E-2</v>
      </c>
      <c r="AS109" s="579">
        <f t="shared" si="148"/>
        <v>1.9839648111398853E-2</v>
      </c>
    </row>
    <row r="110" spans="1:46" ht="15.75" hidden="1">
      <c r="B110" s="26"/>
      <c r="C110" s="27" t="s">
        <v>6</v>
      </c>
      <c r="D110" s="27"/>
      <c r="E110" s="103"/>
      <c r="F110" s="103"/>
      <c r="G110" s="78">
        <v>3067.9156377311997</v>
      </c>
      <c r="H110" s="104"/>
      <c r="J110" s="189">
        <f t="shared" si="138"/>
        <v>0.35167565995834316</v>
      </c>
      <c r="L110" s="80">
        <v>0.40631069041168272</v>
      </c>
      <c r="M110" s="80">
        <v>0.38958211206905707</v>
      </c>
      <c r="N110" s="202">
        <f>G110/$N$9</f>
        <v>2.0885373012501812E-3</v>
      </c>
      <c r="P110" s="160"/>
      <c r="Q110" s="161">
        <f>SUM(Q102:Q109)</f>
        <v>3014.9387081352402</v>
      </c>
      <c r="R110" s="594">
        <f>Q110/$E$6</f>
        <v>0.40516320367132874</v>
      </c>
      <c r="S110" s="594">
        <f t="shared" si="140"/>
        <v>0.38848186952455149</v>
      </c>
      <c r="T110" s="415">
        <f>Q110/T$9</f>
        <v>1.9196903704896957E-3</v>
      </c>
      <c r="V110" s="160"/>
      <c r="W110" s="161">
        <f>SUM(W102:W109)</f>
        <v>2893.9415910717485</v>
      </c>
      <c r="X110" s="594">
        <f>W110/$E$6</f>
        <v>0.38890297939142604</v>
      </c>
      <c r="Y110" s="594">
        <f t="shared" si="142"/>
        <v>0.37289110938170955</v>
      </c>
      <c r="Z110" s="415">
        <f>W110/Z$9</f>
        <v>1.8156146999184783E-3</v>
      </c>
      <c r="AB110"/>
      <c r="AD110" s="160"/>
      <c r="AE110" s="594">
        <f>SUM(AE102:AE109)</f>
        <v>2615.1657101482274</v>
      </c>
      <c r="AF110" s="594">
        <f>AE110/$AB$6</f>
        <v>0.35167565995834316</v>
      </c>
      <c r="AG110" s="594">
        <f>AE110/($AB$7/100)</f>
        <v>0.32683647465749677</v>
      </c>
      <c r="AH110" s="415">
        <f>AE110/AH$9</f>
        <v>1.5548830680647615E-3</v>
      </c>
      <c r="AJ110" s="160"/>
      <c r="AK110" s="161">
        <f>SUM(AK102:AK109)</f>
        <v>2327.6357101482272</v>
      </c>
      <c r="AL110" s="594">
        <f>AK110/$AB$6</f>
        <v>0.31300992565499336</v>
      </c>
      <c r="AM110" s="594">
        <f>AK110/($AB$7/100)</f>
        <v>0.290901737828547</v>
      </c>
      <c r="AN110" s="415">
        <f>AK110/AN$9</f>
        <v>1.1960907466171333E-3</v>
      </c>
      <c r="AP110" s="160"/>
      <c r="AQ110" s="161">
        <f>SUM(AQ102:AQ109)</f>
        <v>2083.2857101482273</v>
      </c>
      <c r="AR110" s="594">
        <f>AQ110/$AB$6</f>
        <v>0.28015084250880506</v>
      </c>
      <c r="AS110" s="594">
        <f>AQ110/($AB$7/100)</f>
        <v>0.26036352288000641</v>
      </c>
      <c r="AT110" s="415">
        <f>AQ110/AT$9</f>
        <v>2.3619185486431833E-2</v>
      </c>
    </row>
    <row r="111" spans="1:46" ht="15.75" hidden="1">
      <c r="B111" s="28"/>
      <c r="C111" s="42"/>
      <c r="D111" s="42"/>
      <c r="E111" s="97"/>
      <c r="F111" s="98"/>
      <c r="G111" s="97"/>
      <c r="H111" s="97"/>
      <c r="J111" s="195"/>
      <c r="L111" s="97"/>
      <c r="M111" s="97"/>
      <c r="N111" s="148"/>
      <c r="AB111"/>
    </row>
    <row r="112" spans="1:46" ht="15" hidden="1">
      <c r="B112" s="17">
        <v>14</v>
      </c>
      <c r="C112" s="18" t="s">
        <v>24</v>
      </c>
      <c r="D112" s="18"/>
      <c r="E112" s="18"/>
      <c r="F112" s="18"/>
      <c r="G112" s="68" t="s">
        <v>67</v>
      </c>
      <c r="H112" s="92"/>
      <c r="J112" s="186" t="s">
        <v>88</v>
      </c>
      <c r="L112" s="69" t="s">
        <v>213</v>
      </c>
      <c r="M112" s="69" t="s">
        <v>214</v>
      </c>
      <c r="N112" s="141" t="s">
        <v>85</v>
      </c>
      <c r="Q112" s="69" t="s">
        <v>67</v>
      </c>
      <c r="R112" s="69" t="s">
        <v>213</v>
      </c>
      <c r="S112" s="69" t="s">
        <v>214</v>
      </c>
      <c r="T112" s="141" t="s">
        <v>85</v>
      </c>
      <c r="W112" s="69" t="s">
        <v>67</v>
      </c>
      <c r="X112" s="69" t="s">
        <v>213</v>
      </c>
      <c r="Y112" s="69" t="s">
        <v>214</v>
      </c>
      <c r="Z112" s="141" t="s">
        <v>85</v>
      </c>
      <c r="AB112"/>
      <c r="AE112" s="69" t="s">
        <v>67</v>
      </c>
      <c r="AF112" s="69" t="s">
        <v>213</v>
      </c>
      <c r="AG112" s="69" t="s">
        <v>214</v>
      </c>
      <c r="AH112" s="141" t="s">
        <v>85</v>
      </c>
      <c r="AK112" s="69" t="s">
        <v>67</v>
      </c>
      <c r="AL112" s="69" t="s">
        <v>213</v>
      </c>
      <c r="AM112" s="69" t="s">
        <v>214</v>
      </c>
      <c r="AN112" s="141" t="s">
        <v>85</v>
      </c>
      <c r="AQ112" s="69" t="s">
        <v>67</v>
      </c>
      <c r="AR112" s="69" t="s">
        <v>213</v>
      </c>
      <c r="AS112" s="69" t="s">
        <v>214</v>
      </c>
      <c r="AT112" s="141" t="s">
        <v>85</v>
      </c>
    </row>
    <row r="113" spans="1:46" ht="15.75" hidden="1">
      <c r="B113" s="22"/>
      <c r="C113" s="30" t="s">
        <v>24</v>
      </c>
      <c r="D113" s="30"/>
      <c r="E113" s="105"/>
      <c r="F113" s="82"/>
      <c r="G113" s="72">
        <v>6164.0767530182629</v>
      </c>
      <c r="H113" s="83"/>
      <c r="J113" s="188">
        <f t="shared" ref="J113:J115" si="152">IF($D$2=$L$2,L113,IF($D$2=$M$2,M113,IF($D$2=$N$2,N113,IF($D$2=$R$2,R113,IF($D$2=$S$2,S113,IF($D$2=$T$2,T113,IF($D$2=$X$2,X113,IF($D$2=$Y$2,Y113,IF($D$2=$Z$2,Z113,IF($D$2=$AF$2,AF113,IF($D$2=$AG$2,AG113,IF($D$2=$AH$2,AH113,IF($D$2=$AL$2,AL113,IF($D$2=$AM$2,AM113,IF($D$2=$AN$2,AN113,IF($D$2=$AR$2,AR113,IF($D$2=$AS$2,AS113,IF($D$2=$AT$2,AT113))))))))))))))))))</f>
        <v>1.227423584309401</v>
      </c>
      <c r="L113" s="75">
        <v>0.82836081482848289</v>
      </c>
      <c r="M113" s="75">
        <v>0.79425563592516868</v>
      </c>
      <c r="N113" s="143"/>
      <c r="P113" s="156">
        <f>4.64/3.89</f>
        <v>1.1928020565552697</v>
      </c>
      <c r="Q113" s="140">
        <f>G113*P113</f>
        <v>7352.5234277647132</v>
      </c>
      <c r="R113" s="579">
        <f>Q113/$E$6</f>
        <v>0.98807048349721338</v>
      </c>
      <c r="S113" s="579">
        <f>Q113/($E$7/100)</f>
        <v>0.9473897559621548</v>
      </c>
      <c r="V113" s="156">
        <f>13852.73/6164.08</f>
        <v>2.2473313130264372</v>
      </c>
      <c r="W113" s="140">
        <f>G113*V113</f>
        <v>13852.722702956271</v>
      </c>
      <c r="X113" s="579">
        <f>W113/$E$6</f>
        <v>1.8616011976481439</v>
      </c>
      <c r="Y113" s="579">
        <f>W113/($E$7/100)</f>
        <v>1.7849555611623573</v>
      </c>
      <c r="AB113"/>
      <c r="AD113" s="156">
        <f>9127.49/W113</f>
        <v>0.65889501982538978</v>
      </c>
      <c r="AE113" s="579">
        <f>W113*AD113</f>
        <v>9127.49</v>
      </c>
      <c r="AF113" s="579">
        <f t="shared" ref="AF113:AF114" si="153">AE113/$AB$6</f>
        <v>1.227423584309401</v>
      </c>
      <c r="AG113" s="579">
        <f t="shared" ref="AG113:AG114" si="154">AE113/($AB$7/100)</f>
        <v>1.1407294927794338</v>
      </c>
      <c r="AJ113" s="156">
        <f>3.45/3.78</f>
        <v>0.91269841269841279</v>
      </c>
      <c r="AK113" s="620">
        <v>7489.69</v>
      </c>
      <c r="AL113" s="579">
        <f t="shared" ref="AL113:AL114" si="155">AK113/$AB$6</f>
        <v>1.0071796457915898</v>
      </c>
      <c r="AM113" s="579">
        <f t="shared" ref="AM113:AM114" si="156">AK113/($AB$7/100)</f>
        <v>0.93604159246136631</v>
      </c>
      <c r="AP113" s="156"/>
      <c r="AQ113" s="140">
        <f>AK113*AP113</f>
        <v>0</v>
      </c>
      <c r="AR113" s="579">
        <f t="shared" ref="AR113:AR114" si="157">AQ113/$AB$6</f>
        <v>0</v>
      </c>
      <c r="AS113" s="579">
        <f t="shared" ref="AS113:AS114" si="158">AQ113/($AB$7/100)</f>
        <v>0</v>
      </c>
    </row>
    <row r="114" spans="1:46" ht="15.75" hidden="1">
      <c r="B114" s="24"/>
      <c r="C114" s="25" t="s">
        <v>47</v>
      </c>
      <c r="D114" s="25"/>
      <c r="E114" s="83"/>
      <c r="F114" s="20"/>
      <c r="G114" s="74">
        <v>2309.8617494497125</v>
      </c>
      <c r="H114" s="83"/>
      <c r="I114" s="57"/>
      <c r="J114" s="188">
        <f t="shared" si="152"/>
        <v>0.31061976378705974</v>
      </c>
      <c r="K114" s="57"/>
      <c r="L114" s="75">
        <v>0.31041128097219201</v>
      </c>
      <c r="M114" s="75">
        <v>0.29763106239877296</v>
      </c>
      <c r="N114" s="143"/>
      <c r="Q114" s="140">
        <f>G114</f>
        <v>2309.8617494497125</v>
      </c>
      <c r="R114" s="579">
        <f>Q114/$E$6</f>
        <v>0.31041128097219201</v>
      </c>
      <c r="S114" s="579">
        <f>Q114/($E$7/100)</f>
        <v>0.29763106239877291</v>
      </c>
      <c r="W114" s="140">
        <f>G114</f>
        <v>2309.8617494497125</v>
      </c>
      <c r="X114" s="579">
        <f>W114/$E$6</f>
        <v>0.31041128097219201</v>
      </c>
      <c r="Y114" s="579">
        <f>W114/($E$7/100)</f>
        <v>0.29763106239877291</v>
      </c>
      <c r="AB114"/>
      <c r="AE114" s="579">
        <f>W114</f>
        <v>2309.8617494497125</v>
      </c>
      <c r="AF114" s="579">
        <f t="shared" si="153"/>
        <v>0.31061976378705974</v>
      </c>
      <c r="AG114" s="579">
        <f t="shared" si="154"/>
        <v>0.28868039535955514</v>
      </c>
      <c r="AK114" s="140">
        <f>AE114</f>
        <v>2309.8617494497125</v>
      </c>
      <c r="AL114" s="579">
        <f t="shared" si="155"/>
        <v>0.31061976378705974</v>
      </c>
      <c r="AM114" s="579">
        <f t="shared" si="156"/>
        <v>0.28868039535955514</v>
      </c>
      <c r="AQ114" s="140">
        <f>AK114</f>
        <v>2309.8617494497125</v>
      </c>
      <c r="AR114" s="579">
        <f t="shared" si="157"/>
        <v>0.31061976378705974</v>
      </c>
      <c r="AS114" s="579">
        <f t="shared" si="158"/>
        <v>0.28868039535955514</v>
      </c>
    </row>
    <row r="115" spans="1:46" ht="15.75" hidden="1">
      <c r="B115" s="26"/>
      <c r="C115" s="27" t="s">
        <v>6</v>
      </c>
      <c r="D115" s="27"/>
      <c r="E115" s="103"/>
      <c r="F115" s="103"/>
      <c r="G115" s="78">
        <v>8473.9385024679759</v>
      </c>
      <c r="H115" s="104"/>
      <c r="J115" s="189">
        <f t="shared" si="152"/>
        <v>1.5380433480964608</v>
      </c>
      <c r="L115" s="80">
        <v>1.1387720958006748</v>
      </c>
      <c r="M115" s="80">
        <v>1.0918866983239417</v>
      </c>
      <c r="N115" s="202">
        <f>G115/$N$9</f>
        <v>5.7687820464296354E-3</v>
      </c>
      <c r="P115" s="160"/>
      <c r="Q115" s="161">
        <f>SUM(Q113:Q114)</f>
        <v>9662.3851772144262</v>
      </c>
      <c r="R115" s="594">
        <f>Q115/$E$6</f>
        <v>1.2984817644694053</v>
      </c>
      <c r="S115" s="594">
        <f>Q115/($E$7/100)</f>
        <v>1.2450208183609277</v>
      </c>
      <c r="T115" s="415">
        <f>Q115/T$9</f>
        <v>6.1522934879606412E-3</v>
      </c>
      <c r="V115" s="160"/>
      <c r="W115" s="161">
        <f>SUM(W113:W114)</f>
        <v>16162.584452405983</v>
      </c>
      <c r="X115" s="594">
        <f>W115/$E$6</f>
        <v>2.1720124786203359</v>
      </c>
      <c r="Y115" s="594">
        <f>W115/($E$7/100)</f>
        <v>2.0825866235611303</v>
      </c>
      <c r="Z115" s="415">
        <f>W115/Z$9</f>
        <v>1.0140158326275843E-2</v>
      </c>
      <c r="AB115"/>
      <c r="AD115" s="160"/>
      <c r="AE115" s="594">
        <f>SUM(AE113:AE114)</f>
        <v>11437.351749449712</v>
      </c>
      <c r="AF115" s="594">
        <f>AE115/$AB$6</f>
        <v>1.5380433480964608</v>
      </c>
      <c r="AG115" s="594">
        <f>AE115/($AB$7/100)</f>
        <v>1.4294098881389887</v>
      </c>
      <c r="AH115" s="415">
        <f>AE115/AH$9</f>
        <v>6.8002362181906447E-3</v>
      </c>
      <c r="AJ115" s="160"/>
      <c r="AK115" s="161">
        <f>SUM(AK113:AK114)</f>
        <v>9799.5517494497126</v>
      </c>
      <c r="AL115" s="594">
        <f>AK115/$AB$6</f>
        <v>1.3177994095786496</v>
      </c>
      <c r="AM115" s="594">
        <f>AK115/($AB$7/100)</f>
        <v>1.2247219878209215</v>
      </c>
      <c r="AN115" s="415">
        <f>AK115/AN$9</f>
        <v>5.0356475961464437E-3</v>
      </c>
      <c r="AP115" s="160"/>
      <c r="AQ115" s="161">
        <f>SUM(AQ113:AQ114)</f>
        <v>2309.8617494497125</v>
      </c>
      <c r="AR115" s="594">
        <f>AQ115/$AB$6</f>
        <v>0.31061976378705974</v>
      </c>
      <c r="AS115" s="594">
        <f>AQ115/($AB$7/100)</f>
        <v>0.28868039535955514</v>
      </c>
      <c r="AT115" s="415">
        <f>AQ115/AT$9</f>
        <v>2.6187984126471508E-2</v>
      </c>
    </row>
    <row r="116" spans="1:46" ht="15.75" hidden="1">
      <c r="B116" s="28"/>
      <c r="C116" s="42"/>
      <c r="D116" s="42"/>
      <c r="E116" s="97"/>
      <c r="F116" s="98"/>
      <c r="G116" s="97"/>
      <c r="H116" s="97"/>
      <c r="J116" s="195"/>
      <c r="L116" s="97"/>
      <c r="M116" s="97"/>
      <c r="N116" s="148"/>
      <c r="AB116"/>
    </row>
    <row r="117" spans="1:46" ht="15" hidden="1">
      <c r="B117" s="17">
        <v>15</v>
      </c>
      <c r="C117" s="18" t="s">
        <v>246</v>
      </c>
      <c r="D117" s="18"/>
      <c r="E117" s="18"/>
      <c r="F117" s="18"/>
      <c r="G117" s="68" t="s">
        <v>67</v>
      </c>
      <c r="H117" s="92"/>
      <c r="J117" s="186" t="s">
        <v>88</v>
      </c>
      <c r="L117" s="69" t="s">
        <v>213</v>
      </c>
      <c r="M117" s="69" t="s">
        <v>214</v>
      </c>
      <c r="N117" s="141" t="s">
        <v>85</v>
      </c>
      <c r="Q117" s="69" t="s">
        <v>67</v>
      </c>
      <c r="R117" s="69" t="s">
        <v>213</v>
      </c>
      <c r="S117" s="69" t="s">
        <v>214</v>
      </c>
      <c r="T117" s="141" t="s">
        <v>85</v>
      </c>
      <c r="W117" s="69" t="s">
        <v>67</v>
      </c>
      <c r="X117" s="69" t="s">
        <v>213</v>
      </c>
      <c r="Y117" s="69" t="s">
        <v>214</v>
      </c>
      <c r="Z117" s="141" t="s">
        <v>85</v>
      </c>
      <c r="AB117"/>
      <c r="AE117" s="69" t="s">
        <v>67</v>
      </c>
      <c r="AF117" s="69" t="s">
        <v>213</v>
      </c>
      <c r="AG117" s="69" t="s">
        <v>214</v>
      </c>
      <c r="AH117" s="141" t="s">
        <v>85</v>
      </c>
      <c r="AK117" s="69" t="s">
        <v>67</v>
      </c>
      <c r="AL117" s="69" t="s">
        <v>213</v>
      </c>
      <c r="AM117" s="69" t="s">
        <v>214</v>
      </c>
      <c r="AN117" s="141" t="s">
        <v>85</v>
      </c>
      <c r="AQ117" s="69" t="s">
        <v>67</v>
      </c>
      <c r="AR117" s="69" t="s">
        <v>213</v>
      </c>
      <c r="AS117" s="69" t="s">
        <v>214</v>
      </c>
      <c r="AT117" s="141" t="s">
        <v>85</v>
      </c>
    </row>
    <row r="118" spans="1:46" ht="15.75" hidden="1">
      <c r="B118" s="22"/>
      <c r="C118" s="30" t="s">
        <v>48</v>
      </c>
      <c r="D118" s="30"/>
      <c r="E118" s="105"/>
      <c r="F118" s="82"/>
      <c r="G118" s="72">
        <v>34676.127302822446</v>
      </c>
      <c r="H118" s="83"/>
      <c r="J118" s="188">
        <f t="shared" ref="J118:J120" si="159">IF($D$2=$L$2,L118,IF($D$2=$M$2,M118,IF($D$2=$N$2,N118,IF($D$2=$R$2,R118,IF($D$2=$S$2,S118,IF($D$2=$T$2,T118,IF($D$2=$X$2,X118,IF($D$2=$Y$2,Y118,IF($D$2=$Z$2,Z118,IF($D$2=$AF$2,AF118,IF($D$2=$AG$2,AG118,IF($D$2=$AH$2,AH118,IF($D$2=$AL$2,AL118,IF($D$2=$AM$2,AM118,IF($D$2=$AN$2,AN118,IF($D$2=$AR$2,AR118,IF($D$2=$AS$2,AS118,IF($D$2=$AT$2,AT118))))))))))))))))))</f>
        <v>4.8926360770143047</v>
      </c>
      <c r="L118" s="75">
        <v>4.6599590203994818</v>
      </c>
      <c r="M118" s="75">
        <v>4.468099708336605</v>
      </c>
      <c r="N118" s="143"/>
      <c r="P118" s="156">
        <f>144/142.2</f>
        <v>1.0126582278481013</v>
      </c>
      <c r="Q118" s="140">
        <f>G118*P118</f>
        <v>35115.065623111339</v>
      </c>
      <c r="R118" s="579">
        <f>Q118/$E$6</f>
        <v>4.7189458434425138</v>
      </c>
      <c r="S118" s="579">
        <f>Q118/($E$7/100)</f>
        <v>4.5246579324927643</v>
      </c>
      <c r="V118" s="156">
        <f>147.1/142.2</f>
        <v>1.0344585091420535</v>
      </c>
      <c r="W118" s="140">
        <f>G118*V118</f>
        <v>35871.014952497768</v>
      </c>
      <c r="X118" s="579">
        <f>W118/$E$6</f>
        <v>4.8205342609055126</v>
      </c>
      <c r="Y118" s="579">
        <f>W118/($E$7/100)</f>
        <v>4.6220637629839292</v>
      </c>
      <c r="AB118"/>
      <c r="AD118" s="156">
        <f>149.2/147.1</f>
        <v>1.0142760027192386</v>
      </c>
      <c r="AE118" s="579">
        <f>W118*AD118</f>
        <v>36383.109659501475</v>
      </c>
      <c r="AF118" s="579">
        <f t="shared" ref="AF118:AF119" si="160">AE118/$AB$6</f>
        <v>4.8926360770143047</v>
      </c>
      <c r="AG118" s="579">
        <f t="shared" ref="AG118:AG119" si="161">AE118/($AB$7/100)</f>
        <v>4.5470645519876367</v>
      </c>
      <c r="AJ118" s="156">
        <f>151.6/149.2</f>
        <v>1.0160857908847185</v>
      </c>
      <c r="AK118" s="140">
        <f>AE118*AJ118</f>
        <v>36968.360753219997</v>
      </c>
      <c r="AL118" s="579">
        <f t="shared" ref="AL118:AL119" si="162">AK118/$AB$6</f>
        <v>4.9713379978241861</v>
      </c>
      <c r="AM118" s="579">
        <f t="shared" ref="AM118:AM119" si="163">AK118/($AB$7/100)</f>
        <v>4.6202076815102258</v>
      </c>
      <c r="AP118" s="156"/>
      <c r="AQ118" s="140">
        <f>AK118*AP118</f>
        <v>0</v>
      </c>
      <c r="AR118" s="579">
        <f t="shared" ref="AR118:AR119" si="164">AQ118/$AB$6</f>
        <v>0</v>
      </c>
      <c r="AS118" s="579">
        <f t="shared" ref="AS118:AS119" si="165">AQ118/($AB$7/100)</f>
        <v>0</v>
      </c>
    </row>
    <row r="119" spans="1:46" ht="15.75" hidden="1">
      <c r="B119" s="24"/>
      <c r="C119" s="25" t="s">
        <v>109</v>
      </c>
      <c r="D119" s="25"/>
      <c r="E119" s="83"/>
      <c r="F119" s="20"/>
      <c r="G119" s="74">
        <v>2794.8827430014435</v>
      </c>
      <c r="H119" s="83"/>
      <c r="I119" s="57"/>
      <c r="J119" s="188">
        <f t="shared" si="159"/>
        <v>0.40231102448554074</v>
      </c>
      <c r="K119" s="57"/>
      <c r="L119" s="75">
        <v>0.37559093423181483</v>
      </c>
      <c r="M119" s="75">
        <v>0.36012714625786141</v>
      </c>
      <c r="N119" s="143"/>
      <c r="P119" s="156">
        <f>137.6/134.9</f>
        <v>1.0200148257968864</v>
      </c>
      <c r="Q119" s="140">
        <f>G119*P119</f>
        <v>2850.8218342253413</v>
      </c>
      <c r="R119" s="579">
        <f>Q119/$E$6</f>
        <v>0.38310832135135442</v>
      </c>
      <c r="S119" s="579">
        <f>Q119/($E$7/100)</f>
        <v>0.36733502835494231</v>
      </c>
      <c r="V119" s="156">
        <f>141.6/134.9</f>
        <v>1.0496664195700518</v>
      </c>
      <c r="W119" s="140">
        <f>G119*V119</f>
        <v>2933.6945619644503</v>
      </c>
      <c r="X119" s="579">
        <f>W119/$E$6</f>
        <v>0.39424519115807982</v>
      </c>
      <c r="Y119" s="579">
        <f>W119/($E$7/100)</f>
        <v>0.37801337220246972</v>
      </c>
      <c r="AB119"/>
      <c r="AD119" s="156">
        <f>144.4/141.6</f>
        <v>1.0197740112994351</v>
      </c>
      <c r="AE119" s="579">
        <f>W119*AD119</f>
        <v>2991.7054713818266</v>
      </c>
      <c r="AF119" s="579">
        <f t="shared" si="160"/>
        <v>0.40231102448554074</v>
      </c>
      <c r="AG119" s="579">
        <f t="shared" si="161"/>
        <v>0.37389541537869092</v>
      </c>
      <c r="AJ119" s="156">
        <f>148.9/144.4</f>
        <v>1.0311634349030472</v>
      </c>
      <c r="AK119" s="140">
        <f>AE119*AJ119</f>
        <v>3084.9372900883241</v>
      </c>
      <c r="AL119" s="579">
        <f t="shared" si="162"/>
        <v>0.41484841790787408</v>
      </c>
      <c r="AM119" s="579">
        <f t="shared" si="163"/>
        <v>0.38554728081639256</v>
      </c>
      <c r="AP119" s="156"/>
      <c r="AQ119" s="140">
        <f>AK119*AP119</f>
        <v>0</v>
      </c>
      <c r="AR119" s="579">
        <f t="shared" si="164"/>
        <v>0</v>
      </c>
      <c r="AS119" s="579">
        <f t="shared" si="165"/>
        <v>0</v>
      </c>
    </row>
    <row r="120" spans="1:46" ht="15.75" hidden="1">
      <c r="A120" s="21"/>
      <c r="B120" s="26"/>
      <c r="C120" s="27" t="s">
        <v>6</v>
      </c>
      <c r="D120" s="27"/>
      <c r="E120" s="103"/>
      <c r="F120" s="103"/>
      <c r="G120" s="78">
        <v>37471.010045823889</v>
      </c>
      <c r="H120" s="104"/>
      <c r="J120" s="189">
        <f t="shared" si="159"/>
        <v>5.2949471014998455</v>
      </c>
      <c r="L120" s="80">
        <v>5.0355499546312963</v>
      </c>
      <c r="M120" s="80">
        <v>4.8282268545944662</v>
      </c>
      <c r="N120" s="202">
        <f>G120/$N$9</f>
        <v>2.5509046348516411E-2</v>
      </c>
      <c r="P120" s="160"/>
      <c r="Q120" s="161">
        <f>SUM(Q118:Q119)</f>
        <v>37965.887457336677</v>
      </c>
      <c r="R120" s="594">
        <f>Q120/$E$6</f>
        <v>5.1020541647938673</v>
      </c>
      <c r="S120" s="594">
        <f>Q120/($E$7/100)</f>
        <v>4.8919929608477064</v>
      </c>
      <c r="T120" s="415">
        <f>Q120/T$9</f>
        <v>2.4173874036737288E-2</v>
      </c>
      <c r="V120" s="160"/>
      <c r="W120" s="161">
        <f>SUM(W118:W119)</f>
        <v>38804.709514462214</v>
      </c>
      <c r="X120" s="594">
        <f>W120/$E$6</f>
        <v>5.2147794520635919</v>
      </c>
      <c r="Y120" s="594">
        <f>W120/($E$7/100)</f>
        <v>5.0000771351863982</v>
      </c>
      <c r="Z120" s="415">
        <f>W120/Z$9</f>
        <v>2.4345481345541532E-2</v>
      </c>
      <c r="AB120"/>
      <c r="AD120" s="160"/>
      <c r="AE120" s="594">
        <f>SUM(AE118:AE119)</f>
        <v>39374.815130883304</v>
      </c>
      <c r="AF120" s="594">
        <f>AE120/$AB$6</f>
        <v>5.2949471014998455</v>
      </c>
      <c r="AG120" s="594">
        <f>AE120/($AB$7/100)</f>
        <v>4.9209599673663282</v>
      </c>
      <c r="AH120" s="415">
        <f>AE120/AH$9</f>
        <v>2.341084280725006E-2</v>
      </c>
      <c r="AJ120" s="160"/>
      <c r="AK120" s="161">
        <f>SUM(AK118:AK119)</f>
        <v>40053.298043308321</v>
      </c>
      <c r="AL120" s="594">
        <f>AK120/$AB$6</f>
        <v>5.3861864157320607</v>
      </c>
      <c r="AM120" s="594">
        <f>AK120/($AB$7/100)</f>
        <v>5.0057549623266189</v>
      </c>
      <c r="AN120" s="415">
        <f>AK120/AN$9</f>
        <v>2.0581991826396407E-2</v>
      </c>
      <c r="AP120" s="160"/>
      <c r="AQ120" s="161">
        <f>SUM(AQ118:AQ119)</f>
        <v>0</v>
      </c>
      <c r="AR120" s="594">
        <f>AQ120/$AB$6</f>
        <v>0</v>
      </c>
      <c r="AS120" s="594">
        <f>AQ120/($AB$7/100)</f>
        <v>0</v>
      </c>
      <c r="AT120" s="415">
        <f>AQ120/AT$9</f>
        <v>0</v>
      </c>
    </row>
    <row r="121" spans="1:46" ht="15.75" hidden="1">
      <c r="B121" s="28"/>
      <c r="C121" s="42"/>
      <c r="D121" s="42"/>
      <c r="E121" s="97"/>
      <c r="F121" s="98"/>
      <c r="G121" s="97"/>
      <c r="H121" s="97"/>
      <c r="J121" s="195"/>
      <c r="L121" s="97"/>
      <c r="M121" s="97"/>
      <c r="N121" s="148"/>
      <c r="AB121"/>
    </row>
    <row r="122" spans="1:46" ht="15" hidden="1">
      <c r="B122" s="17">
        <v>16</v>
      </c>
      <c r="C122" s="18" t="s">
        <v>49</v>
      </c>
      <c r="D122" s="18"/>
      <c r="E122" s="18"/>
      <c r="F122" s="18"/>
      <c r="G122" s="68" t="s">
        <v>67</v>
      </c>
      <c r="H122" s="92"/>
      <c r="J122" s="186" t="s">
        <v>88</v>
      </c>
      <c r="L122" s="69" t="s">
        <v>213</v>
      </c>
      <c r="M122" s="69" t="s">
        <v>214</v>
      </c>
      <c r="N122" s="141" t="s">
        <v>85</v>
      </c>
      <c r="Q122" s="69" t="s">
        <v>67</v>
      </c>
      <c r="R122" s="69" t="s">
        <v>213</v>
      </c>
      <c r="S122" s="69" t="s">
        <v>214</v>
      </c>
      <c r="T122" s="141" t="s">
        <v>85</v>
      </c>
      <c r="W122" s="69" t="s">
        <v>67</v>
      </c>
      <c r="X122" s="69" t="s">
        <v>213</v>
      </c>
      <c r="Y122" s="69" t="s">
        <v>214</v>
      </c>
      <c r="Z122" s="141" t="s">
        <v>85</v>
      </c>
      <c r="AB122"/>
      <c r="AE122" s="69" t="s">
        <v>67</v>
      </c>
      <c r="AF122" s="69" t="s">
        <v>213</v>
      </c>
      <c r="AG122" s="69" t="s">
        <v>214</v>
      </c>
      <c r="AH122" s="141" t="s">
        <v>85</v>
      </c>
      <c r="AK122" s="69" t="s">
        <v>67</v>
      </c>
      <c r="AL122" s="69" t="s">
        <v>213</v>
      </c>
      <c r="AM122" s="69" t="s">
        <v>214</v>
      </c>
      <c r="AN122" s="141" t="s">
        <v>85</v>
      </c>
      <c r="AQ122" s="69" t="s">
        <v>67</v>
      </c>
      <c r="AR122" s="69" t="s">
        <v>213</v>
      </c>
      <c r="AS122" s="69" t="s">
        <v>214</v>
      </c>
      <c r="AT122" s="141" t="s">
        <v>85</v>
      </c>
    </row>
    <row r="123" spans="1:46" ht="15.75" hidden="1">
      <c r="B123" s="22"/>
      <c r="C123" s="30" t="s">
        <v>50</v>
      </c>
      <c r="D123" s="30"/>
      <c r="E123" s="105"/>
      <c r="F123" s="82"/>
      <c r="G123" s="72">
        <v>19835.44761837634</v>
      </c>
      <c r="H123" s="83"/>
      <c r="J123" s="188">
        <f t="shared" ref="J123:J126" si="166">IF($D$2=$L$2,L123,IF($D$2=$M$2,M123,IF($D$2=$N$2,N123,IF($D$2=$R$2,R123,IF($D$2=$S$2,S123,IF($D$2=$T$2,T123,IF($D$2=$X$2,X123,IF($D$2=$Y$2,Y123,IF($D$2=$Z$2,Z123,IF($D$2=$AF$2,AF123,IF($D$2=$AG$2,AG123,IF($D$2=$AH$2,AH123,IF($D$2=$AL$2,AL123,IF($D$2=$AM$2,AM123,IF($D$2=$AN$2,AN123,IF($D$2=$AR$2,AR123,IF($D$2=$AS$2,AS123,IF($D$2=$AT$2,AT123))))))))))))))))))</f>
        <v>3.4268897166601673</v>
      </c>
      <c r="L123" s="75">
        <v>2.6655910057577494</v>
      </c>
      <c r="M123" s="75">
        <v>2.5558435907339514</v>
      </c>
      <c r="N123" s="143"/>
      <c r="P123" s="156">
        <f>144/142.2</f>
        <v>1.0126582278481013</v>
      </c>
      <c r="Q123" s="140">
        <f>G123*P123</f>
        <v>20086.529233798825</v>
      </c>
      <c r="R123" s="579">
        <f>Q123/$E$6</f>
        <v>2.6993326640584807</v>
      </c>
      <c r="S123" s="579">
        <f>Q123/($E$7/100)</f>
        <v>2.5881960412495708</v>
      </c>
      <c r="V123" s="156">
        <f>(23741/19835)</f>
        <v>1.1969246281825057</v>
      </c>
      <c r="W123" s="140">
        <f>G123*V123</f>
        <v>23741.53576545867</v>
      </c>
      <c r="X123" s="579">
        <f>W123/$E$6</f>
        <v>3.190511523453226</v>
      </c>
      <c r="Y123" s="579">
        <f>W123/($E$7/100)</f>
        <v>3.059152139531875</v>
      </c>
      <c r="AB123"/>
      <c r="AE123" s="614">
        <v>25483.38</v>
      </c>
      <c r="AF123" s="579">
        <f t="shared" ref="AF123:AF125" si="167">AE123/$AB$6</f>
        <v>3.4268897166601673</v>
      </c>
      <c r="AG123" s="579">
        <f t="shared" ref="AG123:AG125" si="168">AE123/($AB$7/100)</f>
        <v>3.1848452467990178</v>
      </c>
      <c r="AJ123" s="156">
        <v>1.1101000000000001</v>
      </c>
      <c r="AK123" s="140">
        <f>(AE123+AE125)*AJ123</f>
        <v>28418.981838000003</v>
      </c>
      <c r="AL123" s="579">
        <f t="shared" ref="AL123:AL125" si="169">AK123/$AB$6</f>
        <v>3.8216561782069043</v>
      </c>
      <c r="AM123" s="579">
        <f t="shared" ref="AM123:AM125" si="170">AK123/($AB$7/100)</f>
        <v>3.5517289788725797</v>
      </c>
      <c r="AP123" s="156"/>
      <c r="AQ123" s="140">
        <f>AK123*AP123</f>
        <v>0</v>
      </c>
      <c r="AR123" s="579">
        <f t="shared" ref="AR123:AR125" si="171">AQ123/$AB$6</f>
        <v>0</v>
      </c>
      <c r="AS123" s="579">
        <f t="shared" ref="AS123:AS125" si="172">AQ123/($AB$7/100)</f>
        <v>0</v>
      </c>
    </row>
    <row r="124" spans="1:46" ht="15.75" hidden="1">
      <c r="B124" s="24"/>
      <c r="C124" s="25" t="s">
        <v>51</v>
      </c>
      <c r="D124" s="25"/>
      <c r="E124" s="83"/>
      <c r="F124" s="20"/>
      <c r="G124" s="74">
        <v>1259.0998269593172</v>
      </c>
      <c r="H124" s="83"/>
      <c r="I124" s="57"/>
      <c r="J124" s="188">
        <f t="shared" si="166"/>
        <v>0.19006629641084949</v>
      </c>
      <c r="K124" s="57"/>
      <c r="L124" s="75">
        <v>0.16920440812157608</v>
      </c>
      <c r="M124" s="75">
        <v>0.16223794313806453</v>
      </c>
      <c r="N124" s="143"/>
      <c r="P124" s="156">
        <f>130.1/127</f>
        <v>1.0244094488188975</v>
      </c>
      <c r="Q124" s="140">
        <f>G124*P124</f>
        <v>1289.8337597433633</v>
      </c>
      <c r="R124" s="579">
        <f>Q124/$E$6</f>
        <v>0.17333459446155156</v>
      </c>
      <c r="S124" s="579">
        <f>Q124/($E$7/100)</f>
        <v>0.16619808190757632</v>
      </c>
      <c r="V124" s="156">
        <f>1332/1259</f>
        <v>1.0579825258141382</v>
      </c>
      <c r="W124" s="140">
        <f>G124*V124</f>
        <v>1332.1056151785626</v>
      </c>
      <c r="X124" s="579">
        <f>W124/$E$6</f>
        <v>0.17901530708335134</v>
      </c>
      <c r="Y124" s="579">
        <f>W124/($E$7/100)</f>
        <v>0.17164490886410003</v>
      </c>
      <c r="AB124"/>
      <c r="AE124" s="614">
        <v>1413.39</v>
      </c>
      <c r="AF124" s="579">
        <f t="shared" si="167"/>
        <v>0.19006629641084949</v>
      </c>
      <c r="AG124" s="579">
        <f t="shared" si="168"/>
        <v>0.17664173368576946</v>
      </c>
      <c r="AJ124" s="156">
        <v>1.0757000000000001</v>
      </c>
      <c r="AK124" s="140">
        <f>AE124*AJ124</f>
        <v>1520.3836230000002</v>
      </c>
      <c r="AL124" s="579">
        <f t="shared" si="169"/>
        <v>0.20445431504915079</v>
      </c>
      <c r="AM124" s="579">
        <f t="shared" si="170"/>
        <v>0.19001351292578222</v>
      </c>
      <c r="AP124" s="156"/>
      <c r="AQ124" s="140">
        <f>AK124*AP124</f>
        <v>0</v>
      </c>
      <c r="AR124" s="579">
        <f t="shared" si="171"/>
        <v>0</v>
      </c>
      <c r="AS124" s="579">
        <f t="shared" si="172"/>
        <v>0</v>
      </c>
    </row>
    <row r="125" spans="1:46" ht="15.75" hidden="1">
      <c r="B125" s="24"/>
      <c r="C125" s="25" t="s">
        <v>365</v>
      </c>
      <c r="D125" s="25"/>
      <c r="E125" s="83"/>
      <c r="F125" s="20"/>
      <c r="G125" s="74"/>
      <c r="H125" s="83"/>
      <c r="I125" s="57"/>
      <c r="J125" s="188"/>
      <c r="K125" s="57"/>
      <c r="L125" s="75"/>
      <c r="M125" s="75"/>
      <c r="N125" s="143"/>
      <c r="P125" s="156"/>
      <c r="Q125" s="140"/>
      <c r="R125" s="579"/>
      <c r="S125" s="579"/>
      <c r="W125" s="140">
        <v>275</v>
      </c>
      <c r="X125" s="579">
        <f>W125/$E$6</f>
        <v>3.6955935690821833E-2</v>
      </c>
      <c r="Y125" s="579">
        <f>W125/($E$7/100)</f>
        <v>3.5434390036183615E-2</v>
      </c>
      <c r="AB125"/>
      <c r="AE125" s="614">
        <v>117</v>
      </c>
      <c r="AF125" s="579">
        <f t="shared" si="167"/>
        <v>1.5733630972392183E-2</v>
      </c>
      <c r="AG125" s="579">
        <f t="shared" si="168"/>
        <v>1.4622349699117035E-2</v>
      </c>
      <c r="AJ125" s="156"/>
      <c r="AK125" s="140">
        <v>248</v>
      </c>
      <c r="AL125" s="579">
        <f t="shared" si="169"/>
        <v>3.3349918642335566E-2</v>
      </c>
      <c r="AM125" s="579">
        <f t="shared" si="170"/>
        <v>3.0994382268213886E-2</v>
      </c>
      <c r="AP125" s="156"/>
      <c r="AQ125" s="140"/>
      <c r="AR125" s="579">
        <f t="shared" si="171"/>
        <v>0</v>
      </c>
      <c r="AS125" s="579">
        <f t="shared" si="172"/>
        <v>0</v>
      </c>
    </row>
    <row r="126" spans="1:46" ht="15.75" hidden="1">
      <c r="A126" s="21"/>
      <c r="B126" s="26"/>
      <c r="C126" s="27" t="s">
        <v>6</v>
      </c>
      <c r="D126" s="27"/>
      <c r="E126" s="103"/>
      <c r="F126" s="103"/>
      <c r="G126" s="78">
        <v>21094.547445335658</v>
      </c>
      <c r="H126" s="104"/>
      <c r="I126" s="57"/>
      <c r="J126" s="189">
        <f t="shared" si="166"/>
        <v>3.6326896440434084</v>
      </c>
      <c r="K126" s="57"/>
      <c r="L126" s="80">
        <v>2.8347954138793257</v>
      </c>
      <c r="M126" s="80">
        <v>2.7180815338720161</v>
      </c>
      <c r="N126" s="202">
        <f>G126/$N$9</f>
        <v>1.4360482619123226E-2</v>
      </c>
      <c r="P126" s="160"/>
      <c r="Q126" s="161">
        <f>SUM(Q123:Q124)</f>
        <v>21376.362993542189</v>
      </c>
      <c r="R126" s="594">
        <f>Q126/$E$6</f>
        <v>2.8726672585200324</v>
      </c>
      <c r="S126" s="594">
        <f>Q126/($E$7/100)</f>
        <v>2.7543941231571472</v>
      </c>
      <c r="T126" s="415">
        <f>Q126/T$9</f>
        <v>1.3610889695391608E-2</v>
      </c>
      <c r="V126" s="160"/>
      <c r="W126" s="161">
        <f>SUM(W123:W125)</f>
        <v>25348.641380637233</v>
      </c>
      <c r="X126" s="594">
        <f>W126/$E$6</f>
        <v>3.4064827662273993</v>
      </c>
      <c r="Y126" s="594">
        <f>W126/($E$7/100)</f>
        <v>3.2662314384321589</v>
      </c>
      <c r="Z126" s="415">
        <f>W126/Z$9</f>
        <v>1.5903349969341434E-2</v>
      </c>
      <c r="AB126"/>
      <c r="AD126" s="160"/>
      <c r="AE126" s="594">
        <f>SUM(AE123:AE125)</f>
        <v>27013.77</v>
      </c>
      <c r="AF126" s="594">
        <f>AE126/$AB$6</f>
        <v>3.6326896440434084</v>
      </c>
      <c r="AG126" s="594">
        <f>AE126/($AB$7/100)</f>
        <v>3.3761093301839042</v>
      </c>
      <c r="AH126" s="415">
        <f>AE126/AH$9</f>
        <v>1.6061411869466226E-2</v>
      </c>
      <c r="AJ126" s="160"/>
      <c r="AK126" s="161">
        <f>SUM(AK123:AK125)</f>
        <v>30187.365461000005</v>
      </c>
      <c r="AL126" s="594">
        <f>AK126/$AB$6</f>
        <v>4.0594604118983906</v>
      </c>
      <c r="AM126" s="594">
        <f>AK126/($AB$7/100)</f>
        <v>3.7727368740665761</v>
      </c>
      <c r="AN126" s="415">
        <f>AK126/AN$9</f>
        <v>1.5512233437229926E-2</v>
      </c>
      <c r="AP126" s="160"/>
      <c r="AQ126" s="161">
        <f>SUM(AQ123:AQ125)</f>
        <v>0</v>
      </c>
      <c r="AR126" s="594">
        <f>AQ126/$AB$6</f>
        <v>0</v>
      </c>
      <c r="AS126" s="594">
        <f>AQ126/($AB$7/100)</f>
        <v>0</v>
      </c>
      <c r="AT126" s="415">
        <f>AQ126/AT$9</f>
        <v>0</v>
      </c>
    </row>
    <row r="127" spans="1:46" ht="15.75" hidden="1">
      <c r="B127" s="28"/>
      <c r="C127" s="42"/>
      <c r="D127" s="42"/>
      <c r="E127" s="97"/>
      <c r="F127" s="98"/>
      <c r="G127" s="97"/>
      <c r="H127" s="97"/>
      <c r="J127" s="195"/>
      <c r="L127" s="97"/>
      <c r="M127" s="97"/>
      <c r="N127" s="148"/>
      <c r="AB127"/>
      <c r="AE127" s="579"/>
    </row>
    <row r="128" spans="1:46" ht="15" hidden="1">
      <c r="B128" s="17">
        <v>17</v>
      </c>
      <c r="C128" s="18" t="s">
        <v>52</v>
      </c>
      <c r="D128" s="18"/>
      <c r="E128" s="18"/>
      <c r="F128" s="18"/>
      <c r="G128" s="68" t="s">
        <v>67</v>
      </c>
      <c r="H128" s="92"/>
      <c r="J128" s="186" t="s">
        <v>88</v>
      </c>
      <c r="L128" s="69" t="s">
        <v>213</v>
      </c>
      <c r="M128" s="69" t="s">
        <v>214</v>
      </c>
      <c r="N128" s="141" t="s">
        <v>85</v>
      </c>
      <c r="Q128" s="69" t="s">
        <v>67</v>
      </c>
      <c r="R128" s="69" t="s">
        <v>213</v>
      </c>
      <c r="S128" s="69" t="s">
        <v>214</v>
      </c>
      <c r="T128" s="141" t="s">
        <v>85</v>
      </c>
      <c r="W128" s="69" t="s">
        <v>67</v>
      </c>
      <c r="X128" s="69" t="s">
        <v>213</v>
      </c>
      <c r="Y128" s="69" t="s">
        <v>214</v>
      </c>
      <c r="Z128" s="141" t="s">
        <v>85</v>
      </c>
      <c r="AB128"/>
      <c r="AE128" s="69" t="s">
        <v>67</v>
      </c>
      <c r="AF128" s="69" t="s">
        <v>213</v>
      </c>
      <c r="AG128" s="69" t="s">
        <v>214</v>
      </c>
      <c r="AH128" s="141" t="s">
        <v>85</v>
      </c>
      <c r="AK128" s="69" t="s">
        <v>67</v>
      </c>
      <c r="AL128" s="69" t="s">
        <v>213</v>
      </c>
      <c r="AM128" s="69" t="s">
        <v>214</v>
      </c>
      <c r="AN128" s="141" t="s">
        <v>85</v>
      </c>
      <c r="AQ128" s="69" t="s">
        <v>67</v>
      </c>
      <c r="AR128" s="69" t="s">
        <v>213</v>
      </c>
      <c r="AS128" s="69" t="s">
        <v>214</v>
      </c>
      <c r="AT128" s="141" t="s">
        <v>85</v>
      </c>
    </row>
    <row r="129" spans="1:46" ht="15.75" hidden="1">
      <c r="B129" s="22"/>
      <c r="C129" s="23" t="s">
        <v>53</v>
      </c>
      <c r="D129" s="23"/>
      <c r="E129" s="105"/>
      <c r="F129" s="82"/>
      <c r="G129" s="72">
        <v>14780.768633721333</v>
      </c>
      <c r="H129" s="83"/>
      <c r="J129" s="188">
        <f t="shared" ref="J129:J131" si="173">IF($D$2=$L$2,L129,IF($D$2=$M$2,M129,IF($D$2=$N$2,N129,IF($D$2=$R$2,R129,IF($D$2=$S$2,S129,IF($D$2=$T$2,T129,IF($D$2=$X$2,X129,IF($D$2=$Y$2,Y129,IF($D$2=$Z$2,Z129,IF($D$2=$AF$2,AF129,IF($D$2=$AG$2,AG129,IF($D$2=$AH$2,AH129,IF($D$2=$AL$2,AL129,IF($D$2=$AM$2,AM129,IF($D$2=$AN$2,AN129,IF($D$2=$AR$2,AR129,IF($D$2=$AS$2,AS129,IF($D$2=$AT$2,AT129))))))))))))))))))</f>
        <v>2.6858531796726868</v>
      </c>
      <c r="L129" s="75">
        <v>1.9863168548680803</v>
      </c>
      <c r="M129" s="75">
        <v>1.9045364392795292</v>
      </c>
      <c r="N129" s="143"/>
      <c r="P129" s="156">
        <v>1.06</v>
      </c>
      <c r="Q129" s="140">
        <f>G129*P129</f>
        <v>15667.614751744613</v>
      </c>
      <c r="R129" s="579">
        <f>Q129/$E$6</f>
        <v>2.1054958661601653</v>
      </c>
      <c r="S129" s="579">
        <f>Q129/($E$7/100)</f>
        <v>2.0188086256363009</v>
      </c>
      <c r="V129" s="156">
        <v>1.1782999999999999</v>
      </c>
      <c r="W129" s="140">
        <f>G129*V129</f>
        <v>17416.179681113845</v>
      </c>
      <c r="X129" s="579">
        <f>W129/$E$6</f>
        <v>2.3404771500910591</v>
      </c>
      <c r="Y129" s="579">
        <f>W129/($E$7/100)</f>
        <v>2.2441152864030691</v>
      </c>
      <c r="AB129"/>
      <c r="AD129" s="619">
        <f>19972.81/W129</f>
        <v>1.146796275974264</v>
      </c>
      <c r="AE129" s="579">
        <f>W129*AD129</f>
        <v>19972.810000000001</v>
      </c>
      <c r="AF129" s="579">
        <f t="shared" ref="AF129:AF130" si="174">AE129/$AB$6</f>
        <v>2.6858531796726868</v>
      </c>
      <c r="AG129" s="579">
        <f t="shared" ref="AG129:AG130" si="175">AE129/($AB$7/100)</f>
        <v>2.4961488230258269</v>
      </c>
      <c r="AJ129" s="156">
        <v>1.01</v>
      </c>
      <c r="AK129" s="140">
        <f>AE129*AJ129</f>
        <v>20172.538100000002</v>
      </c>
      <c r="AL129" s="579">
        <f t="shared" ref="AL129:AL130" si="176">AK129/$AB$6</f>
        <v>2.7127117114694137</v>
      </c>
      <c r="AM129" s="579">
        <f t="shared" ref="AM129:AM130" si="177">AK129/($AB$7/100)</f>
        <v>2.5211103112560851</v>
      </c>
      <c r="AP129" s="156"/>
      <c r="AQ129" s="140">
        <f>AK129*AP129</f>
        <v>0</v>
      </c>
      <c r="AR129" s="579">
        <f t="shared" ref="AR129:AR130" si="178">AQ129/$AB$6</f>
        <v>0</v>
      </c>
      <c r="AS129" s="579">
        <f t="shared" ref="AS129:AS130" si="179">AQ129/($AB$7/100)</f>
        <v>0</v>
      </c>
    </row>
    <row r="130" spans="1:46" ht="15.75" hidden="1">
      <c r="B130" s="24"/>
      <c r="C130" s="25" t="s">
        <v>54</v>
      </c>
      <c r="D130" s="25"/>
      <c r="E130" s="83"/>
      <c r="F130" s="20"/>
      <c r="G130" s="74">
        <v>-9581.5042313921113</v>
      </c>
      <c r="H130" s="83"/>
      <c r="I130" s="57"/>
      <c r="J130" s="188">
        <f t="shared" si="173"/>
        <v>-1.7377613180233347</v>
      </c>
      <c r="K130" s="57"/>
      <c r="L130" s="75">
        <v>-1.2876125607151423</v>
      </c>
      <c r="M130" s="75">
        <v>-1.2345991202490612</v>
      </c>
      <c r="N130" s="143"/>
      <c r="P130" s="156">
        <v>1.05</v>
      </c>
      <c r="Q130" s="140">
        <f>G130*P130</f>
        <v>-10060.579442961718</v>
      </c>
      <c r="R130" s="579">
        <f>Q130/$E$6</f>
        <v>-1.3519931887508998</v>
      </c>
      <c r="S130" s="579">
        <f>Q130/($E$7/100)</f>
        <v>-1.2963290762615143</v>
      </c>
      <c r="V130" s="156">
        <v>1.1738999999999999</v>
      </c>
      <c r="W130" s="140">
        <f>G130*V130</f>
        <v>-11247.727817231198</v>
      </c>
      <c r="X130" s="579">
        <f>W130/$E$6</f>
        <v>-1.5115283850235055</v>
      </c>
      <c r="Y130" s="579">
        <f>W130/($E$7/100)</f>
        <v>-1.4492959072603726</v>
      </c>
      <c r="AB130"/>
      <c r="AD130" s="156">
        <v>1.1489</v>
      </c>
      <c r="AE130" s="579">
        <f>W130*AD130</f>
        <v>-12922.514489216925</v>
      </c>
      <c r="AF130" s="579">
        <f t="shared" si="174"/>
        <v>-1.7377613180233347</v>
      </c>
      <c r="AG130" s="579">
        <f t="shared" si="175"/>
        <v>-1.6150215884892019</v>
      </c>
      <c r="AJ130" s="156">
        <v>1.01</v>
      </c>
      <c r="AK130" s="140">
        <f>AE130*AJ130</f>
        <v>-13051.739634109093</v>
      </c>
      <c r="AL130" s="579">
        <f t="shared" si="176"/>
        <v>-1.7551389312035681</v>
      </c>
      <c r="AM130" s="579">
        <f t="shared" si="177"/>
        <v>-1.6311718043740939</v>
      </c>
      <c r="AP130" s="156"/>
      <c r="AQ130" s="140">
        <f>AK130*AP130</f>
        <v>0</v>
      </c>
      <c r="AR130" s="579">
        <f t="shared" si="178"/>
        <v>0</v>
      </c>
      <c r="AS130" s="579">
        <f t="shared" si="179"/>
        <v>0</v>
      </c>
    </row>
    <row r="131" spans="1:46" ht="15.75" hidden="1">
      <c r="A131" s="21"/>
      <c r="B131" s="26"/>
      <c r="C131" s="27" t="s">
        <v>6</v>
      </c>
      <c r="D131" s="27"/>
      <c r="E131" s="103"/>
      <c r="F131" s="103"/>
      <c r="G131" s="78">
        <v>5199.2644023292214</v>
      </c>
      <c r="H131" s="104"/>
      <c r="J131" s="189">
        <f t="shared" si="173"/>
        <v>0.948091861649352</v>
      </c>
      <c r="L131" s="80">
        <v>0.698704294152938</v>
      </c>
      <c r="M131" s="80">
        <v>0.66993731903046805</v>
      </c>
      <c r="N131" s="202">
        <f>G131/$N$9</f>
        <v>3.5394903007688978E-3</v>
      </c>
      <c r="P131" s="160"/>
      <c r="Q131" s="161">
        <f>SUM(Q129:Q130)</f>
        <v>5607.0353087828953</v>
      </c>
      <c r="R131" s="594">
        <f>Q131/$E$6</f>
        <v>0.75350267740926558</v>
      </c>
      <c r="S131" s="594">
        <f>Q131/($E$7/100)</f>
        <v>0.72247954937478676</v>
      </c>
      <c r="T131" s="415">
        <f>Q131/T$9</f>
        <v>3.570146106195209E-3</v>
      </c>
      <c r="V131" s="160"/>
      <c r="W131" s="161">
        <f>SUM(W129:W130)</f>
        <v>6168.4518638826466</v>
      </c>
      <c r="X131" s="594">
        <f>W131/$E$6</f>
        <v>0.82894876506755333</v>
      </c>
      <c r="Y131" s="594">
        <f>W131/($E$7/100)</f>
        <v>0.7948193791426964</v>
      </c>
      <c r="Z131" s="415">
        <f>W131/Z$9</f>
        <v>3.869992371082103E-3</v>
      </c>
      <c r="AB131"/>
      <c r="AD131" s="160"/>
      <c r="AE131" s="594">
        <f>SUM(AE129:AE130)</f>
        <v>7050.2955107830767</v>
      </c>
      <c r="AF131" s="594">
        <f>AE131/$AB$6</f>
        <v>0.948091861649352</v>
      </c>
      <c r="AG131" s="594">
        <f>AE131/($AB$7/100)</f>
        <v>0.88112723453662489</v>
      </c>
      <c r="AH131" s="415">
        <f>AE131/AH$9</f>
        <v>4.1918510448610375E-3</v>
      </c>
      <c r="AJ131" s="160"/>
      <c r="AK131" s="161">
        <f>SUM(AK129:AK130)</f>
        <v>7120.7984658909081</v>
      </c>
      <c r="AL131" s="594">
        <f>AK131/$AB$6</f>
        <v>0.95757278026584569</v>
      </c>
      <c r="AM131" s="594">
        <f>AK131/($AB$7/100)</f>
        <v>0.88993850688199116</v>
      </c>
      <c r="AN131" s="415">
        <f>AK131/AN$9</f>
        <v>3.6591297841169529E-3</v>
      </c>
      <c r="AP131" s="160"/>
      <c r="AQ131" s="161">
        <f>SUM(AQ129:AQ130)</f>
        <v>0</v>
      </c>
      <c r="AR131" s="594">
        <f>AQ131/$AB$6</f>
        <v>0</v>
      </c>
      <c r="AS131" s="594">
        <f>AQ131/($AB$7/100)</f>
        <v>0</v>
      </c>
      <c r="AT131" s="415">
        <f>AQ131/AT$9</f>
        <v>0</v>
      </c>
    </row>
    <row r="132" spans="1:46" ht="15.75" hidden="1">
      <c r="B132" s="28"/>
      <c r="C132" s="42"/>
      <c r="D132" s="42"/>
      <c r="E132" s="97"/>
      <c r="F132" s="98"/>
      <c r="G132" s="99"/>
      <c r="H132" s="97"/>
      <c r="J132" s="196"/>
      <c r="L132" s="117"/>
      <c r="M132" s="117"/>
      <c r="N132" s="99"/>
      <c r="AB132"/>
    </row>
    <row r="133" spans="1:46" ht="15" hidden="1">
      <c r="B133" s="17">
        <v>18</v>
      </c>
      <c r="C133" s="18" t="s">
        <v>29</v>
      </c>
      <c r="D133" s="18"/>
      <c r="E133" s="18"/>
      <c r="F133" s="18"/>
      <c r="G133" s="68" t="s">
        <v>67</v>
      </c>
      <c r="H133" s="92"/>
      <c r="J133" s="186" t="s">
        <v>88</v>
      </c>
      <c r="L133" s="69" t="s">
        <v>213</v>
      </c>
      <c r="M133" s="69" t="s">
        <v>214</v>
      </c>
      <c r="N133" s="141" t="s">
        <v>85</v>
      </c>
      <c r="Q133" s="69" t="s">
        <v>67</v>
      </c>
      <c r="R133" s="69" t="s">
        <v>213</v>
      </c>
      <c r="S133" s="69" t="s">
        <v>214</v>
      </c>
      <c r="T133" s="141" t="s">
        <v>85</v>
      </c>
      <c r="W133" s="69" t="s">
        <v>67</v>
      </c>
      <c r="X133" s="69" t="s">
        <v>213</v>
      </c>
      <c r="Y133" s="69" t="s">
        <v>214</v>
      </c>
      <c r="Z133" s="141" t="s">
        <v>85</v>
      </c>
      <c r="AB133"/>
      <c r="AE133" s="69" t="s">
        <v>67</v>
      </c>
      <c r="AF133" s="69" t="s">
        <v>213</v>
      </c>
      <c r="AG133" s="69" t="s">
        <v>214</v>
      </c>
      <c r="AH133" s="141" t="s">
        <v>85</v>
      </c>
      <c r="AK133" s="69" t="s">
        <v>67</v>
      </c>
      <c r="AL133" s="69" t="s">
        <v>213</v>
      </c>
      <c r="AM133" s="69" t="s">
        <v>214</v>
      </c>
      <c r="AN133" s="141" t="s">
        <v>85</v>
      </c>
      <c r="AQ133" s="69" t="s">
        <v>67</v>
      </c>
      <c r="AR133" s="69" t="s">
        <v>213</v>
      </c>
      <c r="AS133" s="69" t="s">
        <v>214</v>
      </c>
      <c r="AT133" s="141" t="s">
        <v>85</v>
      </c>
    </row>
    <row r="134" spans="1:46" ht="15.75" hidden="1">
      <c r="B134" s="22"/>
      <c r="C134" s="30" t="s">
        <v>29</v>
      </c>
      <c r="D134" s="30"/>
      <c r="E134" s="105"/>
      <c r="F134" s="82"/>
      <c r="G134" s="72">
        <v>18565.917846816679</v>
      </c>
      <c r="H134" s="83"/>
      <c r="J134" s="188">
        <f t="shared" ref="J134:J136" si="180">IF($D$2=$L$2,L134,IF($D$2=$M$2,M134,IF($D$2=$N$2,N134,IF($D$2=$R$2,R134,IF($D$2=$S$2,S134,IF($D$2=$T$2,T134,IF($D$2=$X$2,X134,IF($D$2=$Y$2,Y134,IF($D$2=$Z$2,Z134,IF($D$2=$AF$2,AF134,IF($D$2=$AG$2,AG134,IF($D$2=$AH$2,AH134,IF($D$2=$AL$2,AL134,IF($D$2=$AM$2,AM134,IF($D$2=$AN$2,AN134,IF($D$2=$AR$2,AR134,IF($D$2=$AS$2,AS134,IF($D$2=$AT$2,AT134))))))))))))))))))</f>
        <v>2.7680324892755803</v>
      </c>
      <c r="L134" s="75">
        <v>2.4949849672292315</v>
      </c>
      <c r="M134" s="75">
        <v>2.3922617249594347</v>
      </c>
      <c r="N134" s="143"/>
      <c r="P134" s="156">
        <f>3.27/3</f>
        <v>1.0900000000000001</v>
      </c>
      <c r="Q134" s="140">
        <f>G134*P134</f>
        <v>20236.850453030183</v>
      </c>
      <c r="R134" s="579">
        <f>Q134/$E$6</f>
        <v>2.7195336142798623</v>
      </c>
      <c r="S134" s="579">
        <f>Q134/($E$7/100)</f>
        <v>2.607565280205784</v>
      </c>
      <c r="V134" s="156">
        <f>3.53/3</f>
        <v>1.1766666666666665</v>
      </c>
      <c r="W134" s="140">
        <f>G134*V134</f>
        <v>21845.896666420958</v>
      </c>
      <c r="X134" s="579">
        <f>W134/$E$6</f>
        <v>2.935765644773062</v>
      </c>
      <c r="Y134" s="579">
        <f>W134/($E$7/100)</f>
        <v>2.8148946297022679</v>
      </c>
      <c r="AB134"/>
      <c r="AD134" s="619">
        <f>20583.92/W134</f>
        <v>0.9422327823988691</v>
      </c>
      <c r="AE134" s="579">
        <f>W134*AD134</f>
        <v>20583.919999999998</v>
      </c>
      <c r="AF134" s="579">
        <f t="shared" ref="AF134:AF135" si="181">AE134/$AB$6</f>
        <v>2.7680324892755803</v>
      </c>
      <c r="AG134" s="579">
        <f t="shared" ref="AG134:AG135" si="182">AE134/($AB$7/100)</f>
        <v>2.5725237300739239</v>
      </c>
      <c r="AJ134" s="156">
        <f>2.84/3.21</f>
        <v>0.88473520249221183</v>
      </c>
      <c r="AK134" s="620">
        <v>18560.099999999999</v>
      </c>
      <c r="AL134" s="579">
        <f t="shared" ref="AL134:AL135" si="183">AK134/$AB$6</f>
        <v>2.4958783265871465</v>
      </c>
      <c r="AM134" s="579">
        <f t="shared" ref="AM134:AM135" si="184">AK134/($AB$7/100)</f>
        <v>2.3195920739365987</v>
      </c>
      <c r="AP134" s="156"/>
      <c r="AQ134" s="140">
        <f>AK134*AP134</f>
        <v>0</v>
      </c>
      <c r="AR134" s="579">
        <f t="shared" ref="AR134:AR135" si="185">AQ134/$AB$6</f>
        <v>0</v>
      </c>
      <c r="AS134" s="579">
        <f t="shared" ref="AS134:AS135" si="186">AQ134/($AB$7/100)</f>
        <v>0</v>
      </c>
    </row>
    <row r="135" spans="1:46" ht="15.75" hidden="1">
      <c r="B135" s="24"/>
      <c r="C135" s="25" t="s">
        <v>365</v>
      </c>
      <c r="D135" s="25"/>
      <c r="E135" s="106"/>
      <c r="F135" s="20"/>
      <c r="G135" s="74"/>
      <c r="H135" s="83"/>
      <c r="J135" s="188"/>
      <c r="L135" s="75"/>
      <c r="M135" s="75"/>
      <c r="N135" s="143"/>
      <c r="P135" s="156"/>
      <c r="Q135" s="140"/>
      <c r="R135" s="579"/>
      <c r="S135" s="579"/>
      <c r="W135" s="140">
        <v>790</v>
      </c>
      <c r="X135" s="579">
        <f>W135/$E$6</f>
        <v>0.10616432434817909</v>
      </c>
      <c r="Y135" s="579">
        <f>W135/($E$7/100)</f>
        <v>0.10179333864940021</v>
      </c>
      <c r="AB135"/>
      <c r="AD135" s="156"/>
      <c r="AE135" s="614">
        <v>409</v>
      </c>
      <c r="AF135" s="579">
        <f t="shared" si="181"/>
        <v>5.5000470664174385E-2</v>
      </c>
      <c r="AG135" s="579">
        <f t="shared" si="182"/>
        <v>5.1115735272981772E-2</v>
      </c>
      <c r="AJ135" s="156"/>
      <c r="AK135" s="620">
        <v>709</v>
      </c>
      <c r="AL135" s="579">
        <f t="shared" si="183"/>
        <v>9.5343114183128699E-2</v>
      </c>
      <c r="AM135" s="579">
        <f t="shared" si="184"/>
        <v>8.8608939629692116E-2</v>
      </c>
      <c r="AP135" s="156"/>
      <c r="AQ135" s="140"/>
      <c r="AR135" s="579">
        <f t="shared" si="185"/>
        <v>0</v>
      </c>
      <c r="AS135" s="579">
        <f t="shared" si="186"/>
        <v>0</v>
      </c>
    </row>
    <row r="136" spans="1:46" ht="15.75" hidden="1">
      <c r="B136" s="26"/>
      <c r="C136" s="27" t="s">
        <v>6</v>
      </c>
      <c r="D136" s="27"/>
      <c r="E136" s="103"/>
      <c r="F136" s="103"/>
      <c r="G136" s="78">
        <v>18565.917846816679</v>
      </c>
      <c r="H136" s="104"/>
      <c r="J136" s="189">
        <f t="shared" si="180"/>
        <v>2.8230329599397548</v>
      </c>
      <c r="L136" s="80">
        <v>2.4949849672292315</v>
      </c>
      <c r="M136" s="80">
        <v>2.3922617249594347</v>
      </c>
      <c r="N136" s="202">
        <f>G136/$N$9</f>
        <v>1.2639073734015261E-2</v>
      </c>
      <c r="P136" s="160"/>
      <c r="Q136" s="161">
        <f>Q134</f>
        <v>20236.850453030183</v>
      </c>
      <c r="R136" s="594">
        <f>Q136/$E$6</f>
        <v>2.7195336142798623</v>
      </c>
      <c r="S136" s="594">
        <f>Q136/($E$7/100)</f>
        <v>2.607565280205784</v>
      </c>
      <c r="T136" s="415">
        <f>Q136/T$9</f>
        <v>1.2885332242044193E-2</v>
      </c>
      <c r="V136" s="160"/>
      <c r="W136" s="161">
        <f>SUM(W134:W135)</f>
        <v>22635.896666420958</v>
      </c>
      <c r="X136" s="594">
        <f>W136/$E$6</f>
        <v>3.0419299691212411</v>
      </c>
      <c r="Y136" s="594">
        <f>W136/($E$7/100)</f>
        <v>2.9166879683516682</v>
      </c>
      <c r="Z136" s="415">
        <f>W136/Z$9</f>
        <v>1.42014154190891E-2</v>
      </c>
      <c r="AB136"/>
      <c r="AD136" s="160"/>
      <c r="AE136" s="594">
        <f>SUM(AE134:AE135)</f>
        <v>20992.92</v>
      </c>
      <c r="AF136" s="594">
        <f>AE136/$AB$6</f>
        <v>2.8230329599397548</v>
      </c>
      <c r="AG136" s="594">
        <f>AE136/($AB$7/100)</f>
        <v>2.6236394653469057</v>
      </c>
      <c r="AH136" s="415">
        <f>AE136/AH$9</f>
        <v>1.2481631940405018E-2</v>
      </c>
      <c r="AJ136" s="160"/>
      <c r="AK136" s="161">
        <f>SUM(AK134:AK135)</f>
        <v>19269.099999999999</v>
      </c>
      <c r="AL136" s="594">
        <f>AK136/$AB$6</f>
        <v>2.5912214407702754</v>
      </c>
      <c r="AM136" s="594">
        <f>AK136/($AB$7/100)</f>
        <v>2.4082010135662908</v>
      </c>
      <c r="AN136" s="415">
        <f>AK136/AN$9</f>
        <v>9.9017179127967991E-3</v>
      </c>
      <c r="AP136" s="160"/>
      <c r="AQ136" s="161">
        <f>SUM(AQ134:AQ135)</f>
        <v>0</v>
      </c>
      <c r="AR136" s="594">
        <f>AQ136/$AB$6</f>
        <v>0</v>
      </c>
      <c r="AS136" s="594">
        <f>AQ136/($AB$7/100)</f>
        <v>0</v>
      </c>
      <c r="AT136" s="415">
        <f>AQ136/AT$9</f>
        <v>0</v>
      </c>
    </row>
    <row r="137" spans="1:46" ht="15.75" hidden="1">
      <c r="A137" s="21"/>
      <c r="B137" s="28"/>
      <c r="C137" s="42"/>
      <c r="D137" s="42"/>
      <c r="E137" s="97"/>
      <c r="F137" s="98"/>
      <c r="G137" s="99"/>
      <c r="H137" s="97"/>
      <c r="J137" s="196"/>
      <c r="L137" s="117"/>
      <c r="M137" s="117"/>
      <c r="N137" s="99"/>
      <c r="AB137"/>
    </row>
    <row r="138" spans="1:46" ht="15" hidden="1">
      <c r="B138" s="17">
        <v>19</v>
      </c>
      <c r="C138" s="18" t="s">
        <v>30</v>
      </c>
      <c r="D138" s="18"/>
      <c r="E138" s="18"/>
      <c r="F138" s="18"/>
      <c r="G138" s="68" t="s">
        <v>67</v>
      </c>
      <c r="H138" s="92"/>
      <c r="J138" s="186" t="s">
        <v>88</v>
      </c>
      <c r="L138" s="69" t="s">
        <v>213</v>
      </c>
      <c r="M138" s="69" t="s">
        <v>214</v>
      </c>
      <c r="N138" s="141" t="s">
        <v>85</v>
      </c>
      <c r="Q138" s="69" t="s">
        <v>67</v>
      </c>
      <c r="R138" s="69" t="s">
        <v>213</v>
      </c>
      <c r="S138" s="69" t="s">
        <v>214</v>
      </c>
      <c r="T138" s="141" t="s">
        <v>85</v>
      </c>
      <c r="W138" s="69" t="s">
        <v>67</v>
      </c>
      <c r="X138" s="69" t="s">
        <v>213</v>
      </c>
      <c r="Y138" s="69" t="s">
        <v>214</v>
      </c>
      <c r="Z138" s="141" t="s">
        <v>85</v>
      </c>
      <c r="AB138"/>
      <c r="AE138" s="69" t="s">
        <v>67</v>
      </c>
      <c r="AF138" s="69" t="s">
        <v>213</v>
      </c>
      <c r="AG138" s="69" t="s">
        <v>214</v>
      </c>
      <c r="AH138" s="141" t="s">
        <v>85</v>
      </c>
      <c r="AK138" s="69" t="s">
        <v>67</v>
      </c>
      <c r="AL138" s="69" t="s">
        <v>213</v>
      </c>
      <c r="AM138" s="69" t="s">
        <v>214</v>
      </c>
      <c r="AN138" s="141" t="s">
        <v>85</v>
      </c>
      <c r="AQ138" s="69" t="s">
        <v>67</v>
      </c>
      <c r="AR138" s="69" t="s">
        <v>213</v>
      </c>
      <c r="AS138" s="69" t="s">
        <v>214</v>
      </c>
      <c r="AT138" s="141" t="s">
        <v>85</v>
      </c>
    </row>
    <row r="139" spans="1:46" ht="15.75" hidden="1">
      <c r="B139" s="22"/>
      <c r="C139" s="23" t="s">
        <v>57</v>
      </c>
      <c r="D139" s="23"/>
      <c r="E139" s="105"/>
      <c r="F139" s="82"/>
      <c r="G139" s="72">
        <v>1226.6091819311757</v>
      </c>
      <c r="H139" s="83"/>
      <c r="J139" s="188">
        <f t="shared" ref="J139:J147" si="187">IF($D$2=$L$2,L139,IF($D$2=$M$2,M139,IF($D$2=$N$2,N139,IF($D$2=$R$2,R139,IF($D$2=$S$2,S139,IF($D$2=$T$2,T139,IF($D$2=$X$2,X139,IF($D$2=$Y$2,Y139,IF($D$2=$Z$2,Z139,IF($D$2=$AF$2,AF139,IF($D$2=$AG$2,AG139,IF($D$2=$AH$2,AH139,IF($D$2=$AL$2,AL139,IF($D$2=$AM$2,AM139,IF($D$2=$AN$2,AN139,IF($D$2=$AR$2,AR139,IF($D$2=$AS$2,AS139,IF($D$2=$AT$2,AT139))))))))))))))))))</f>
        <v>0.16195419765205812</v>
      </c>
      <c r="L139" s="75">
        <v>0.16483814561898222</v>
      </c>
      <c r="M139" s="75">
        <v>0.15805144790732142</v>
      </c>
      <c r="N139" s="143"/>
      <c r="P139" s="156">
        <f>113.7/109.6</f>
        <v>1.0374087591240877</v>
      </c>
      <c r="Q139" s="140">
        <f>G139*P139</f>
        <v>1272.4951093574334</v>
      </c>
      <c r="R139" s="579">
        <f t="shared" ref="R139:R147" si="188">Q139/$E$6</f>
        <v>0.17100453610290403</v>
      </c>
      <c r="S139" s="579">
        <f t="shared" ref="S139:S147" si="189">Q139/($E$7/100)</f>
        <v>0.16396395645129971</v>
      </c>
      <c r="V139" s="156">
        <f>114.5/109.6</f>
        <v>1.0447080291970803</v>
      </c>
      <c r="W139" s="140">
        <f t="shared" ref="W139:W146" si="190">G139*V139</f>
        <v>1281.4484610503614</v>
      </c>
      <c r="X139" s="579">
        <f t="shared" ref="X139:X147" si="191">W139/$E$6</f>
        <v>0.17220773424610825</v>
      </c>
      <c r="Y139" s="579">
        <f t="shared" ref="Y139:Y147" si="192">W139/($E$7/100)</f>
        <v>0.16511761665500274</v>
      </c>
      <c r="AB139"/>
      <c r="AD139" s="156">
        <f>1204.34/W139</f>
        <v>0.93982710706355044</v>
      </c>
      <c r="AE139" s="579">
        <f>W139*AD139</f>
        <v>1204.3399999999999</v>
      </c>
      <c r="AF139" s="579">
        <f t="shared" ref="AF139:AF146" si="193">AE139/$AB$6</f>
        <v>0.16195419765205812</v>
      </c>
      <c r="AG139" s="579">
        <f t="shared" ref="AG139:AG146" si="194">AE139/($AB$7/100)</f>
        <v>0.15051521911653512</v>
      </c>
      <c r="AJ139" s="156">
        <f>105.5/107.6</f>
        <v>0.98048327137546476</v>
      </c>
      <c r="AK139" s="140">
        <f>AE139*AJ139</f>
        <v>1180.8352230483272</v>
      </c>
      <c r="AL139" s="579">
        <f t="shared" ref="AL139:AL146" si="195">AK139/$AB$6</f>
        <v>0.15879338152687858</v>
      </c>
      <c r="AM139" s="579">
        <f t="shared" ref="AM139:AM146" si="196">AK139/($AB$7/100)</f>
        <v>0.14757765443117524</v>
      </c>
      <c r="AP139" s="156"/>
      <c r="AQ139" s="140">
        <f>AK139*AP139</f>
        <v>0</v>
      </c>
      <c r="AR139" s="579">
        <f t="shared" ref="AR139:AR146" si="197">AQ139/$AB$6</f>
        <v>0</v>
      </c>
      <c r="AS139" s="579">
        <f t="shared" ref="AS139:AS146" si="198">AQ139/($AB$7/100)</f>
        <v>0</v>
      </c>
    </row>
    <row r="140" spans="1:46" ht="15.75" hidden="1">
      <c r="B140" s="24"/>
      <c r="C140" s="44" t="s">
        <v>247</v>
      </c>
      <c r="D140" s="44"/>
      <c r="E140" s="83"/>
      <c r="F140" s="20"/>
      <c r="G140" s="74">
        <v>2461.5187634041736</v>
      </c>
      <c r="H140" s="83"/>
      <c r="I140" s="57"/>
      <c r="J140" s="188">
        <f t="shared" si="187"/>
        <v>0.33101391329077279</v>
      </c>
      <c r="K140" s="57"/>
      <c r="L140" s="75">
        <v>0.33079174226223973</v>
      </c>
      <c r="M140" s="75">
        <v>0.31717242161399228</v>
      </c>
      <c r="N140" s="143"/>
      <c r="P140" s="156">
        <v>1</v>
      </c>
      <c r="Q140" s="140">
        <f t="shared" ref="Q140:Q146" si="199">G140*P140</f>
        <v>2461.5187634041736</v>
      </c>
      <c r="R140" s="579">
        <f t="shared" si="188"/>
        <v>0.33079174226223973</v>
      </c>
      <c r="S140" s="579">
        <f t="shared" si="189"/>
        <v>0.31717242161399223</v>
      </c>
      <c r="V140" s="156">
        <v>1</v>
      </c>
      <c r="W140" s="140">
        <f t="shared" si="190"/>
        <v>2461.5187634041736</v>
      </c>
      <c r="X140" s="579">
        <f t="shared" si="191"/>
        <v>0.33079174226223973</v>
      </c>
      <c r="Y140" s="579">
        <f t="shared" si="192"/>
        <v>0.31717242161399223</v>
      </c>
      <c r="AB140"/>
      <c r="AD140" s="156">
        <v>1</v>
      </c>
      <c r="AE140" s="579">
        <f t="shared" ref="AE140:AE141" si="200">W140*AD140</f>
        <v>2461.5187634041736</v>
      </c>
      <c r="AF140" s="579">
        <f t="shared" si="193"/>
        <v>0.33101391329077279</v>
      </c>
      <c r="AG140" s="579">
        <f t="shared" si="194"/>
        <v>0.30763408674729875</v>
      </c>
      <c r="AJ140" s="156">
        <v>1</v>
      </c>
      <c r="AK140" s="140">
        <f t="shared" ref="AK140:AK141" si="201">AE140*AJ140</f>
        <v>2461.5187634041736</v>
      </c>
      <c r="AL140" s="579">
        <f t="shared" si="195"/>
        <v>0.33101391329077279</v>
      </c>
      <c r="AM140" s="579">
        <f t="shared" si="196"/>
        <v>0.30763408674729875</v>
      </c>
      <c r="AP140" s="156"/>
      <c r="AQ140" s="140">
        <f t="shared" ref="AQ140:AQ141" si="202">AK140*AP140</f>
        <v>0</v>
      </c>
      <c r="AR140" s="579">
        <f t="shared" si="197"/>
        <v>0</v>
      </c>
      <c r="AS140" s="579">
        <f t="shared" si="198"/>
        <v>0</v>
      </c>
    </row>
    <row r="141" spans="1:46" ht="15.75" hidden="1">
      <c r="B141" s="24"/>
      <c r="C141" s="44" t="s">
        <v>248</v>
      </c>
      <c r="D141" s="44"/>
      <c r="E141" s="106"/>
      <c r="F141" s="20"/>
      <c r="G141" s="74">
        <v>11161.592363239015</v>
      </c>
      <c r="H141" s="83"/>
      <c r="I141" s="57"/>
      <c r="J141" s="188">
        <f t="shared" si="187"/>
        <v>1.6842143845419713</v>
      </c>
      <c r="K141" s="57"/>
      <c r="L141" s="75">
        <v>1.4999530530291969</v>
      </c>
      <c r="M141" s="75">
        <v>1.4381971535414535</v>
      </c>
      <c r="N141" s="143"/>
      <c r="P141" s="156">
        <v>1.0261</v>
      </c>
      <c r="Q141" s="140">
        <f t="shared" si="199"/>
        <v>11452.909923919553</v>
      </c>
      <c r="R141" s="579">
        <f t="shared" si="188"/>
        <v>1.5391018277132589</v>
      </c>
      <c r="S141" s="579">
        <f t="shared" si="189"/>
        <v>1.4757340992488854</v>
      </c>
      <c r="V141" s="156">
        <f>11810.94/11161.59</f>
        <v>1.0581771951845571</v>
      </c>
      <c r="W141" s="140">
        <f t="shared" si="190"/>
        <v>11810.942500725632</v>
      </c>
      <c r="X141" s="579">
        <f t="shared" si="191"/>
        <v>1.5872161145629486</v>
      </c>
      <c r="Y141" s="579">
        <f t="shared" si="192"/>
        <v>1.5218674300569088</v>
      </c>
      <c r="AB141"/>
      <c r="AD141" s="156">
        <v>1.0604</v>
      </c>
      <c r="AE141" s="579">
        <f t="shared" si="200"/>
        <v>12524.323427769461</v>
      </c>
      <c r="AF141" s="579">
        <f t="shared" si="193"/>
        <v>1.6842143845419713</v>
      </c>
      <c r="AG141" s="579">
        <f t="shared" si="194"/>
        <v>1.5652567256896515</v>
      </c>
      <c r="AJ141" s="156">
        <v>1.0366</v>
      </c>
      <c r="AK141" s="140">
        <f t="shared" si="201"/>
        <v>12982.713665225823</v>
      </c>
      <c r="AL141" s="579">
        <f t="shared" si="195"/>
        <v>1.7458566310162074</v>
      </c>
      <c r="AM141" s="579">
        <f t="shared" si="196"/>
        <v>1.6225451218498927</v>
      </c>
      <c r="AP141" s="156"/>
      <c r="AQ141" s="140">
        <f t="shared" si="202"/>
        <v>0</v>
      </c>
      <c r="AR141" s="579">
        <f t="shared" si="197"/>
        <v>0</v>
      </c>
      <c r="AS141" s="579">
        <f t="shared" si="198"/>
        <v>0</v>
      </c>
    </row>
    <row r="142" spans="1:46" ht="15.75" hidden="1">
      <c r="B142" s="24"/>
      <c r="C142" s="44" t="s">
        <v>249</v>
      </c>
      <c r="D142" s="44"/>
      <c r="E142" s="83"/>
      <c r="F142" s="20"/>
      <c r="G142" s="74">
        <v>0</v>
      </c>
      <c r="H142" s="83"/>
      <c r="I142" s="57"/>
      <c r="J142" s="188">
        <f t="shared" si="187"/>
        <v>0</v>
      </c>
      <c r="K142" s="57"/>
      <c r="L142" s="75">
        <v>0</v>
      </c>
      <c r="M142" s="75">
        <v>0</v>
      </c>
      <c r="N142" s="143"/>
      <c r="P142" s="156">
        <f>129/126.9</f>
        <v>1.0165484633569739</v>
      </c>
      <c r="Q142" s="140">
        <f t="shared" si="199"/>
        <v>0</v>
      </c>
      <c r="R142" s="579">
        <f t="shared" si="188"/>
        <v>0</v>
      </c>
      <c r="S142" s="579">
        <f t="shared" si="189"/>
        <v>0</v>
      </c>
      <c r="V142" s="156">
        <f>131.7/126.9</f>
        <v>1.0378250591016547</v>
      </c>
      <c r="W142" s="140">
        <f t="shared" si="190"/>
        <v>0</v>
      </c>
      <c r="X142" s="579">
        <f t="shared" si="191"/>
        <v>0</v>
      </c>
      <c r="Y142" s="579">
        <f t="shared" si="192"/>
        <v>0</v>
      </c>
      <c r="AB142"/>
      <c r="AE142" s="579">
        <f>W142*AD142</f>
        <v>0</v>
      </c>
      <c r="AF142" s="579">
        <f t="shared" si="193"/>
        <v>0</v>
      </c>
      <c r="AG142" s="579">
        <f t="shared" si="194"/>
        <v>0</v>
      </c>
      <c r="AJ142" s="156">
        <f>137.8/132.8</f>
        <v>1.0376506024096386</v>
      </c>
      <c r="AK142" s="140">
        <f>AE142*AJ142</f>
        <v>0</v>
      </c>
      <c r="AL142" s="579">
        <f t="shared" si="195"/>
        <v>0</v>
      </c>
      <c r="AM142" s="579">
        <f t="shared" si="196"/>
        <v>0</v>
      </c>
      <c r="AP142" s="156"/>
      <c r="AQ142" s="140">
        <f>AK142*AP142</f>
        <v>0</v>
      </c>
      <c r="AR142" s="579">
        <f t="shared" si="197"/>
        <v>0</v>
      </c>
      <c r="AS142" s="579">
        <f t="shared" si="198"/>
        <v>0</v>
      </c>
    </row>
    <row r="143" spans="1:46" ht="15.75" hidden="1">
      <c r="B143" s="24"/>
      <c r="C143" s="44" t="s">
        <v>56</v>
      </c>
      <c r="D143" s="44"/>
      <c r="E143" s="106"/>
      <c r="F143" s="20"/>
      <c r="G143" s="74">
        <v>1022.3833125837948</v>
      </c>
      <c r="H143" s="83"/>
      <c r="I143" s="57"/>
      <c r="J143" s="188">
        <f t="shared" si="187"/>
        <v>0.11896768194366809</v>
      </c>
      <c r="K143" s="57"/>
      <c r="L143" s="75">
        <v>0.13739320709533134</v>
      </c>
      <c r="M143" s="75">
        <v>0.13173646932574407</v>
      </c>
      <c r="N143" s="143"/>
      <c r="P143" s="156">
        <v>1.0125999999999999</v>
      </c>
      <c r="Q143" s="140">
        <f t="shared" si="199"/>
        <v>1035.2653423223505</v>
      </c>
      <c r="R143" s="579">
        <f t="shared" si="188"/>
        <v>0.13912436150473251</v>
      </c>
      <c r="S143" s="579">
        <f t="shared" si="189"/>
        <v>0.13339634883924845</v>
      </c>
      <c r="V143" s="156">
        <v>0.8397</v>
      </c>
      <c r="W143" s="140">
        <f t="shared" si="190"/>
        <v>858.49526757661249</v>
      </c>
      <c r="X143" s="579">
        <f t="shared" si="191"/>
        <v>0.11536907599794972</v>
      </c>
      <c r="Y143" s="579">
        <f t="shared" si="192"/>
        <v>0.1106191132928273</v>
      </c>
      <c r="AB143"/>
      <c r="AD143" s="156">
        <v>1.0305</v>
      </c>
      <c r="AE143" s="579">
        <f t="shared" ref="AE143:AE146" si="203">W143*AD143</f>
        <v>884.67937323769911</v>
      </c>
      <c r="AF143" s="579">
        <f t="shared" si="193"/>
        <v>0.11896768194366809</v>
      </c>
      <c r="AG143" s="579">
        <f t="shared" si="194"/>
        <v>0.1105648817698916</v>
      </c>
      <c r="AJ143" s="156">
        <v>1.0168999999999999</v>
      </c>
      <c r="AK143" s="140">
        <f t="shared" ref="AK143:AK146" si="204">AE143*AJ143</f>
        <v>899.63045464541619</v>
      </c>
      <c r="AL143" s="579">
        <f t="shared" si="195"/>
        <v>0.12097823576851609</v>
      </c>
      <c r="AM143" s="579">
        <f t="shared" si="196"/>
        <v>0.11243342827180276</v>
      </c>
      <c r="AP143" s="156"/>
      <c r="AQ143" s="140">
        <f t="shared" ref="AQ143:AQ146" si="205">AK143*AP143</f>
        <v>0</v>
      </c>
      <c r="AR143" s="579">
        <f t="shared" si="197"/>
        <v>0</v>
      </c>
      <c r="AS143" s="579">
        <f t="shared" si="198"/>
        <v>0</v>
      </c>
    </row>
    <row r="144" spans="1:46" ht="15.75" hidden="1">
      <c r="B144" s="24"/>
      <c r="C144" s="44" t="s">
        <v>250</v>
      </c>
      <c r="D144" s="44"/>
      <c r="E144" s="83"/>
      <c r="F144" s="20"/>
      <c r="G144" s="74">
        <v>722.60779884511385</v>
      </c>
      <c r="H144" s="83"/>
      <c r="I144" s="57"/>
      <c r="J144" s="188">
        <f t="shared" si="187"/>
        <v>0.11163330168125325</v>
      </c>
      <c r="K144" s="57"/>
      <c r="L144" s="75">
        <v>9.7107808522932174E-2</v>
      </c>
      <c r="M144" s="75">
        <v>9.310969668169411E-2</v>
      </c>
      <c r="N144" s="143"/>
      <c r="P144" s="156">
        <f>346/336</f>
        <v>1.0297619047619047</v>
      </c>
      <c r="Q144" s="140">
        <f t="shared" si="199"/>
        <v>744.11398333455168</v>
      </c>
      <c r="R144" s="579">
        <f t="shared" si="188"/>
        <v>9.999792187182896E-2</v>
      </c>
      <c r="S144" s="579">
        <f t="shared" si="189"/>
        <v>9.5880818606744508E-2</v>
      </c>
      <c r="V144" s="156">
        <f>356/336</f>
        <v>1.0595238095238095</v>
      </c>
      <c r="W144" s="140">
        <f t="shared" si="190"/>
        <v>765.62016782398973</v>
      </c>
      <c r="X144" s="579">
        <f t="shared" si="191"/>
        <v>0.10288803522072576</v>
      </c>
      <c r="Y144" s="579">
        <f t="shared" si="192"/>
        <v>9.8651940531794949E-2</v>
      </c>
      <c r="AB144"/>
      <c r="AD144" s="156">
        <f>386/356</f>
        <v>1.0842696629213484</v>
      </c>
      <c r="AE144" s="579">
        <f t="shared" si="203"/>
        <v>830.13872129230356</v>
      </c>
      <c r="AF144" s="579">
        <f t="shared" si="193"/>
        <v>0.11163330168125325</v>
      </c>
      <c r="AG144" s="579">
        <f t="shared" si="194"/>
        <v>0.10374853573943517</v>
      </c>
      <c r="AJ144" s="156">
        <f>391/386</f>
        <v>1.0129533678756477</v>
      </c>
      <c r="AK144" s="140">
        <f t="shared" si="204"/>
        <v>840.89181353702259</v>
      </c>
      <c r="AL144" s="579">
        <f t="shared" si="195"/>
        <v>0.11307932890510369</v>
      </c>
      <c r="AM144" s="579">
        <f t="shared" si="196"/>
        <v>0.10509242868942786</v>
      </c>
      <c r="AP144" s="156"/>
      <c r="AQ144" s="140">
        <f t="shared" si="205"/>
        <v>0</v>
      </c>
      <c r="AR144" s="579">
        <f t="shared" si="197"/>
        <v>0</v>
      </c>
      <c r="AS144" s="579">
        <f t="shared" si="198"/>
        <v>0</v>
      </c>
    </row>
    <row r="145" spans="1:46" ht="15.75" hidden="1">
      <c r="B145" s="24"/>
      <c r="C145" s="44" t="s">
        <v>251</v>
      </c>
      <c r="D145" s="44"/>
      <c r="E145" s="106"/>
      <c r="F145" s="20"/>
      <c r="G145" s="74">
        <v>1800.1816703395239</v>
      </c>
      <c r="H145" s="83"/>
      <c r="I145" s="57"/>
      <c r="J145" s="188">
        <f t="shared" si="187"/>
        <v>0.31224174432787161</v>
      </c>
      <c r="K145" s="57"/>
      <c r="L145" s="75">
        <v>0.24191781105768609</v>
      </c>
      <c r="M145" s="75">
        <v>0.23195759797381529</v>
      </c>
      <c r="N145" s="143"/>
      <c r="P145" s="156">
        <v>1.1903999999999999</v>
      </c>
      <c r="Q145" s="140">
        <f t="shared" si="199"/>
        <v>2142.9362603721688</v>
      </c>
      <c r="R145" s="579">
        <f t="shared" si="188"/>
        <v>0.28797896228306946</v>
      </c>
      <c r="S145" s="579">
        <f t="shared" si="189"/>
        <v>0.27612232462802966</v>
      </c>
      <c r="V145" s="156">
        <v>1.3560000000000001</v>
      </c>
      <c r="W145" s="140">
        <f t="shared" si="190"/>
        <v>2441.0463449803947</v>
      </c>
      <c r="X145" s="579">
        <f t="shared" si="191"/>
        <v>0.32804055179422237</v>
      </c>
      <c r="Y145" s="579">
        <f t="shared" si="192"/>
        <v>0.31453450285249357</v>
      </c>
      <c r="AB145"/>
      <c r="AD145" s="156">
        <v>0.95120000000000005</v>
      </c>
      <c r="AE145" s="579">
        <f t="shared" si="203"/>
        <v>2321.9232833453516</v>
      </c>
      <c r="AF145" s="579">
        <f t="shared" si="193"/>
        <v>0.31224174432787161</v>
      </c>
      <c r="AG145" s="579">
        <f t="shared" si="194"/>
        <v>0.29018781387690379</v>
      </c>
      <c r="AJ145" s="156">
        <v>1</v>
      </c>
      <c r="AK145" s="140">
        <f t="shared" si="204"/>
        <v>2321.9232833453516</v>
      </c>
      <c r="AL145" s="579">
        <f t="shared" si="195"/>
        <v>0.31224174432787161</v>
      </c>
      <c r="AM145" s="579">
        <f t="shared" si="196"/>
        <v>0.29018781387690379</v>
      </c>
      <c r="AP145" s="156"/>
      <c r="AQ145" s="140">
        <f t="shared" si="205"/>
        <v>0</v>
      </c>
      <c r="AR145" s="579">
        <f t="shared" si="197"/>
        <v>0</v>
      </c>
      <c r="AS145" s="579">
        <f t="shared" si="198"/>
        <v>0</v>
      </c>
    </row>
    <row r="146" spans="1:46" ht="15.75" hidden="1">
      <c r="B146" s="24"/>
      <c r="C146" s="44" t="s">
        <v>252</v>
      </c>
      <c r="D146" s="44"/>
      <c r="E146" s="83"/>
      <c r="F146" s="20"/>
      <c r="G146" s="74">
        <v>2280.0923486117381</v>
      </c>
      <c r="H146" s="83"/>
      <c r="I146" s="57"/>
      <c r="J146" s="188">
        <f t="shared" si="187"/>
        <v>0.32087212327851256</v>
      </c>
      <c r="K146" s="57"/>
      <c r="L146" s="75">
        <v>0.30641071347065568</v>
      </c>
      <c r="M146" s="75">
        <v>0.29379520581536828</v>
      </c>
      <c r="N146" s="143"/>
      <c r="P146" s="156">
        <f>129/126.9</f>
        <v>1.0165484633569739</v>
      </c>
      <c r="Q146" s="140">
        <f t="shared" si="199"/>
        <v>2317.824373293256</v>
      </c>
      <c r="R146" s="579">
        <f t="shared" si="188"/>
        <v>0.31148133993470906</v>
      </c>
      <c r="S146" s="579">
        <f t="shared" si="189"/>
        <v>0.2986570650132585</v>
      </c>
      <c r="V146" s="156">
        <f>131.7/126.9</f>
        <v>1.0378250591016547</v>
      </c>
      <c r="W146" s="140">
        <f t="shared" si="190"/>
        <v>2366.3369764552076</v>
      </c>
      <c r="X146" s="579">
        <f t="shared" si="191"/>
        <v>0.31800071681706338</v>
      </c>
      <c r="Y146" s="579">
        <f t="shared" si="192"/>
        <v>0.30490802683911739</v>
      </c>
      <c r="AB146"/>
      <c r="AD146" s="156">
        <f>132.8/131.7</f>
        <v>1.0083523158694003</v>
      </c>
      <c r="AE146" s="579">
        <f t="shared" si="203"/>
        <v>2386.1013703360031</v>
      </c>
      <c r="AF146" s="579">
        <f t="shared" si="193"/>
        <v>0.32087212327851256</v>
      </c>
      <c r="AG146" s="579">
        <f t="shared" si="194"/>
        <v>0.29820862097944789</v>
      </c>
      <c r="AJ146" s="156">
        <f>137.8/132.8</f>
        <v>1.0376506024096386</v>
      </c>
      <c r="AK146" s="140">
        <f t="shared" si="204"/>
        <v>2475.9395243396179</v>
      </c>
      <c r="AL146" s="579">
        <f t="shared" si="195"/>
        <v>0.3329531520164084</v>
      </c>
      <c r="AM146" s="579">
        <f t="shared" si="196"/>
        <v>0.30943635520307167</v>
      </c>
      <c r="AP146" s="156"/>
      <c r="AQ146" s="140">
        <f t="shared" si="205"/>
        <v>0</v>
      </c>
      <c r="AR146" s="579">
        <f t="shared" si="197"/>
        <v>0</v>
      </c>
      <c r="AS146" s="579">
        <f t="shared" si="198"/>
        <v>0</v>
      </c>
    </row>
    <row r="147" spans="1:46" ht="15.75" hidden="1">
      <c r="B147" s="26"/>
      <c r="C147" s="27" t="s">
        <v>6</v>
      </c>
      <c r="D147" s="27"/>
      <c r="E147" s="103"/>
      <c r="F147" s="103"/>
      <c r="G147" s="78">
        <v>20674.985438954536</v>
      </c>
      <c r="H147" s="104"/>
      <c r="J147" s="189">
        <f t="shared" si="187"/>
        <v>3.0408973467161076</v>
      </c>
      <c r="L147" s="80">
        <v>2.7784124810570239</v>
      </c>
      <c r="M147" s="80">
        <v>2.6640199928593891</v>
      </c>
      <c r="N147" s="202">
        <f>G147/$N$9</f>
        <v>1.4074858435153695E-2</v>
      </c>
      <c r="P147" s="160"/>
      <c r="Q147" s="161">
        <f>SUM(Q139:Q146)</f>
        <v>21427.063756003488</v>
      </c>
      <c r="R147" s="594">
        <f t="shared" si="188"/>
        <v>2.8794806916727427</v>
      </c>
      <c r="S147" s="594">
        <f t="shared" si="189"/>
        <v>2.7609270344014587</v>
      </c>
      <c r="T147" s="415">
        <f>Q147/T$9</f>
        <v>1.3643172197590016E-2</v>
      </c>
      <c r="V147" s="160"/>
      <c r="W147" s="161">
        <f>SUM(W139:W146)</f>
        <v>21985.40848201637</v>
      </c>
      <c r="X147" s="594">
        <f t="shared" si="191"/>
        <v>2.9545139709012576</v>
      </c>
      <c r="Y147" s="594">
        <f t="shared" si="192"/>
        <v>2.8328710518421367</v>
      </c>
      <c r="Z147" s="415">
        <f>W147/Z$9</f>
        <v>1.3793309079496094E-2</v>
      </c>
      <c r="AB147"/>
      <c r="AD147" s="160"/>
      <c r="AE147" s="594">
        <f>SUM(AE139:AE146)</f>
        <v>22613.024939384992</v>
      </c>
      <c r="AF147" s="594">
        <f>AE147/$AB$6</f>
        <v>3.0408973467161076</v>
      </c>
      <c r="AG147" s="594">
        <f>AE147/($AB$7/100)</f>
        <v>2.8261158839191638</v>
      </c>
      <c r="AH147" s="415">
        <f>AE147/AH$9</f>
        <v>1.3444887817064181E-2</v>
      </c>
      <c r="AJ147" s="160"/>
      <c r="AK147" s="161">
        <f>SUM(AK139:AK146)</f>
        <v>23163.452727545733</v>
      </c>
      <c r="AL147" s="594">
        <f>AK147/$AB$6</f>
        <v>3.1149163868517586</v>
      </c>
      <c r="AM147" s="594">
        <f>AK147/($AB$7/100)</f>
        <v>2.8949068890695728</v>
      </c>
      <c r="AN147" s="415">
        <f>AK147/AN$9</f>
        <v>1.1902889849269632E-2</v>
      </c>
      <c r="AP147" s="160"/>
      <c r="AQ147" s="161">
        <f>SUM(AQ139:AQ146)</f>
        <v>0</v>
      </c>
      <c r="AR147" s="594">
        <f>AQ147/$AB$6</f>
        <v>0</v>
      </c>
      <c r="AS147" s="594">
        <f>AQ147/($AB$7/100)</f>
        <v>0</v>
      </c>
      <c r="AT147" s="415">
        <f>AQ147/AT$9</f>
        <v>0</v>
      </c>
    </row>
    <row r="148" spans="1:46" ht="15.75" hidden="1">
      <c r="B148" s="28"/>
      <c r="C148" s="42"/>
      <c r="D148" s="42"/>
      <c r="E148" s="97"/>
      <c r="F148" s="98"/>
      <c r="G148" s="97"/>
      <c r="H148" s="97"/>
      <c r="J148" s="195"/>
      <c r="L148" s="97"/>
      <c r="M148" s="97"/>
      <c r="N148" s="148"/>
      <c r="AB148"/>
    </row>
    <row r="149" spans="1:46" ht="15" hidden="1">
      <c r="B149" s="17">
        <v>20</v>
      </c>
      <c r="C149" s="18" t="s">
        <v>32</v>
      </c>
      <c r="D149" s="18"/>
      <c r="E149" s="18"/>
      <c r="F149" s="18"/>
      <c r="G149" s="68" t="s">
        <v>67</v>
      </c>
      <c r="H149" s="92"/>
      <c r="J149" s="186" t="s">
        <v>88</v>
      </c>
      <c r="L149" s="69" t="s">
        <v>213</v>
      </c>
      <c r="M149" s="69" t="s">
        <v>214</v>
      </c>
      <c r="N149" s="141" t="s">
        <v>85</v>
      </c>
      <c r="Q149" s="69" t="s">
        <v>67</v>
      </c>
      <c r="R149" s="69" t="s">
        <v>213</v>
      </c>
      <c r="S149" s="69" t="s">
        <v>214</v>
      </c>
      <c r="T149" s="141" t="s">
        <v>85</v>
      </c>
      <c r="W149" s="69" t="s">
        <v>67</v>
      </c>
      <c r="X149" s="69" t="s">
        <v>213</v>
      </c>
      <c r="Y149" s="69" t="s">
        <v>214</v>
      </c>
      <c r="Z149" s="141" t="s">
        <v>85</v>
      </c>
      <c r="AB149"/>
      <c r="AE149" s="69" t="s">
        <v>67</v>
      </c>
      <c r="AF149" s="69" t="s">
        <v>213</v>
      </c>
      <c r="AG149" s="69" t="s">
        <v>214</v>
      </c>
      <c r="AH149" s="141" t="s">
        <v>85</v>
      </c>
      <c r="AK149" s="69" t="s">
        <v>67</v>
      </c>
      <c r="AL149" s="69" t="s">
        <v>213</v>
      </c>
      <c r="AM149" s="69" t="s">
        <v>214</v>
      </c>
      <c r="AN149" s="141" t="s">
        <v>85</v>
      </c>
      <c r="AQ149" s="69" t="s">
        <v>67</v>
      </c>
      <c r="AR149" s="69" t="s">
        <v>213</v>
      </c>
      <c r="AS149" s="69" t="s">
        <v>214</v>
      </c>
      <c r="AT149" s="141" t="s">
        <v>85</v>
      </c>
    </row>
    <row r="150" spans="1:46" ht="15.75" hidden="1">
      <c r="B150" s="22"/>
      <c r="C150" s="23" t="s">
        <v>59</v>
      </c>
      <c r="D150" s="23"/>
      <c r="E150" s="105"/>
      <c r="F150" s="82"/>
      <c r="G150" s="72">
        <v>38503.743793807043</v>
      </c>
      <c r="H150" s="83"/>
      <c r="J150" s="187">
        <f t="shared" ref="J150:J154" si="206">IF($D$2=$L$2,L150,IF($D$2=$M$2,M150,IF($D$2=$N$2,N150,IF($D$2=$R$2,R150,IF($D$2=$S$2,S150,IF($D$2=$T$2,T150,IF($D$2=$X$2,X150,IF($D$2=$Y$2,Y150,IF($D$2=$Z$2,Z150,IF($D$2=$AF$2,AF150,IF($D$2=$AG$2,AG150,IF($D$2=$AH$2,AH150,IF($D$2=$AL$2,AL150,IF($D$2=$AM$2,AM150,IF($D$2=$AN$2,AN150,IF($D$2=$AR$2,AR150,IF($D$2=$AS$2,AS150,IF($D$2=$AT$2,AT150))))))))))))))))))</f>
        <v>5.1778093667290239</v>
      </c>
      <c r="L150" s="73">
        <v>5.174334107272049</v>
      </c>
      <c r="M150" s="75">
        <v>4.961297001611066</v>
      </c>
      <c r="N150" s="143"/>
      <c r="Q150" s="140">
        <f>G150</f>
        <v>38503.743793807043</v>
      </c>
      <c r="R150" s="579">
        <f>Q150/$E$6</f>
        <v>5.174334107272049</v>
      </c>
      <c r="S150" s="579">
        <f>Q150/($E$7/100)</f>
        <v>4.961297001611066</v>
      </c>
      <c r="W150" s="140">
        <f>Q150</f>
        <v>38503.743793807043</v>
      </c>
      <c r="X150" s="579">
        <f>W150/$E$6</f>
        <v>5.174334107272049</v>
      </c>
      <c r="Y150" s="579">
        <f>W150/($E$7/100)</f>
        <v>4.961297001611066</v>
      </c>
      <c r="AB150"/>
      <c r="AE150" s="579">
        <f>W150</f>
        <v>38503.743793807043</v>
      </c>
      <c r="AF150" s="579">
        <f t="shared" ref="AF150:AF153" si="207">AE150/$AB$6</f>
        <v>5.1778093667290239</v>
      </c>
      <c r="AG150" s="579">
        <f t="shared" ref="AG150:AG153" si="208">AE150/($AB$7/100)</f>
        <v>4.8120957818654171</v>
      </c>
      <c r="AK150" s="140">
        <f>AE150</f>
        <v>38503.743793807043</v>
      </c>
      <c r="AL150" s="579">
        <f t="shared" ref="AL150:AL153" si="209">AK150/$AB$6</f>
        <v>5.1778093667290239</v>
      </c>
      <c r="AM150" s="579">
        <f t="shared" ref="AM150:AM153" si="210">AK150/($AB$7/100)</f>
        <v>4.8120957818654171</v>
      </c>
      <c r="AQ150" s="140">
        <f>AK150</f>
        <v>38503.743793807043</v>
      </c>
      <c r="AR150" s="579">
        <f t="shared" ref="AR150:AR153" si="211">AQ150/$AB$6</f>
        <v>5.1778093667290239</v>
      </c>
      <c r="AS150" s="579">
        <f t="shared" ref="AS150:AS153" si="212">AQ150/($AB$7/100)</f>
        <v>4.8120957818654171</v>
      </c>
    </row>
    <row r="151" spans="1:46" ht="15.75" hidden="1">
      <c r="B151" s="409"/>
      <c r="C151" s="111" t="s">
        <v>48</v>
      </c>
      <c r="D151" s="111"/>
      <c r="E151" s="25"/>
      <c r="F151" s="20"/>
      <c r="G151" s="74">
        <v>41529.876992252553</v>
      </c>
      <c r="H151" s="83"/>
      <c r="I151" s="57"/>
      <c r="J151" s="188">
        <f t="shared" si="206"/>
        <v>5.8280166211691293</v>
      </c>
      <c r="K151" s="57"/>
      <c r="L151" s="75">
        <v>5.5810016849942787</v>
      </c>
      <c r="M151" s="75">
        <v>5.3512213072662007</v>
      </c>
      <c r="N151" s="143"/>
      <c r="Q151" s="140">
        <f>G151</f>
        <v>41529.876992252553</v>
      </c>
      <c r="R151" s="579">
        <f>Q151/$E$6</f>
        <v>5.5810016849942787</v>
      </c>
      <c r="S151" s="579">
        <f>Q151/($E$7/100)</f>
        <v>5.3512213072662007</v>
      </c>
      <c r="W151" s="140">
        <f>Q151</f>
        <v>41529.876992252553</v>
      </c>
      <c r="X151" s="579">
        <f>W151/$E$6</f>
        <v>5.5810016849942787</v>
      </c>
      <c r="Y151" s="579">
        <f>W151/($E$7/100)</f>
        <v>5.3512213072662007</v>
      </c>
      <c r="AB151"/>
      <c r="AE151" s="614">
        <v>43338.879999999997</v>
      </c>
      <c r="AF151" s="579">
        <f t="shared" si="207"/>
        <v>5.8280166211691293</v>
      </c>
      <c r="AG151" s="579">
        <f t="shared" si="208"/>
        <v>5.4163782814364891</v>
      </c>
      <c r="AK151" s="140">
        <v>44197.88</v>
      </c>
      <c r="AL151" s="579">
        <f t="shared" si="209"/>
        <v>5.943531057111735</v>
      </c>
      <c r="AM151" s="579">
        <f t="shared" si="210"/>
        <v>5.5237338232445365</v>
      </c>
      <c r="AQ151" s="140">
        <f>AK151</f>
        <v>44197.88</v>
      </c>
      <c r="AR151" s="579">
        <f t="shared" si="211"/>
        <v>5.943531057111735</v>
      </c>
      <c r="AS151" s="579">
        <f t="shared" si="212"/>
        <v>5.5237338232445365</v>
      </c>
    </row>
    <row r="152" spans="1:46" ht="15.75" hidden="1">
      <c r="B152" s="409"/>
      <c r="C152" s="111" t="s">
        <v>365</v>
      </c>
      <c r="D152" s="111"/>
      <c r="E152" s="25"/>
      <c r="F152" s="20"/>
      <c r="G152" s="74"/>
      <c r="H152" s="83"/>
      <c r="I152" s="57"/>
      <c r="J152" s="188"/>
      <c r="K152" s="57"/>
      <c r="L152" s="75"/>
      <c r="M152" s="75"/>
      <c r="N152" s="143"/>
      <c r="P152" s="162">
        <v>0</v>
      </c>
      <c r="Q152" s="140">
        <f>P152</f>
        <v>0</v>
      </c>
      <c r="R152" s="579">
        <f>Q152/$E$6</f>
        <v>0</v>
      </c>
      <c r="S152" s="579">
        <f>Q152/($E$7/100)</f>
        <v>0</v>
      </c>
      <c r="V152" s="162">
        <v>1809</v>
      </c>
      <c r="W152" s="140">
        <f>V152</f>
        <v>1809</v>
      </c>
      <c r="X152" s="579">
        <f>W152/$E$6</f>
        <v>0.24310286423526073</v>
      </c>
      <c r="Y152" s="579">
        <f>W152/($E$7/100)</f>
        <v>0.23309386027438606</v>
      </c>
      <c r="AB152"/>
      <c r="AE152" s="614">
        <v>859</v>
      </c>
      <c r="AF152" s="579">
        <f t="shared" si="207"/>
        <v>0.11551443594260587</v>
      </c>
      <c r="AG152" s="579">
        <f t="shared" si="208"/>
        <v>0.10735554180804729</v>
      </c>
      <c r="AK152" s="140">
        <v>1587</v>
      </c>
      <c r="AL152" s="579">
        <f t="shared" si="209"/>
        <v>0.21341258421526835</v>
      </c>
      <c r="AM152" s="579">
        <f t="shared" si="210"/>
        <v>0.19833905104699773</v>
      </c>
      <c r="AQ152" s="140"/>
      <c r="AR152" s="579">
        <f t="shared" si="211"/>
        <v>0</v>
      </c>
      <c r="AS152" s="579">
        <f t="shared" si="212"/>
        <v>0</v>
      </c>
    </row>
    <row r="153" spans="1:46" ht="15.75" hidden="1">
      <c r="B153" s="24"/>
      <c r="C153" s="44" t="s">
        <v>60</v>
      </c>
      <c r="D153" s="44"/>
      <c r="E153" s="83"/>
      <c r="F153" s="20"/>
      <c r="G153" s="74">
        <v>1092.7708175664798</v>
      </c>
      <c r="H153" s="83"/>
      <c r="I153" s="57"/>
      <c r="J153" s="188">
        <f t="shared" si="206"/>
        <v>0.14695087847000252</v>
      </c>
      <c r="K153" s="57"/>
      <c r="L153" s="75">
        <v>0.14685224748652229</v>
      </c>
      <c r="M153" s="75">
        <v>0.14080606316294508</v>
      </c>
      <c r="N153" s="143"/>
      <c r="Q153" s="140">
        <f>G153</f>
        <v>1092.7708175664798</v>
      </c>
      <c r="R153" s="579">
        <f>Q153/$E$6</f>
        <v>0.14685224748652229</v>
      </c>
      <c r="S153" s="579">
        <f>Q153/($E$7/100)</f>
        <v>0.14080606316294508</v>
      </c>
      <c r="W153" s="140">
        <f>Q153</f>
        <v>1092.7708175664798</v>
      </c>
      <c r="X153" s="579">
        <f>W153/$E$6</f>
        <v>0.14685224748652229</v>
      </c>
      <c r="Y153" s="579">
        <f>W153/($E$7/100)</f>
        <v>0.14080606316294508</v>
      </c>
      <c r="AB153"/>
      <c r="AE153" s="579">
        <f>W153</f>
        <v>1092.7708175664798</v>
      </c>
      <c r="AF153" s="579">
        <f t="shared" si="207"/>
        <v>0.14695087847000252</v>
      </c>
      <c r="AG153" s="579">
        <f t="shared" si="208"/>
        <v>0.13657159859356488</v>
      </c>
      <c r="AK153" s="140">
        <f>AE153</f>
        <v>1092.7708175664798</v>
      </c>
      <c r="AL153" s="579">
        <f t="shared" si="209"/>
        <v>0.14695087847000252</v>
      </c>
      <c r="AM153" s="579">
        <f t="shared" si="210"/>
        <v>0.13657159859356488</v>
      </c>
      <c r="AQ153" s="140">
        <f>AK153</f>
        <v>1092.7708175664798</v>
      </c>
      <c r="AR153" s="579">
        <f t="shared" si="211"/>
        <v>0.14695087847000252</v>
      </c>
      <c r="AS153" s="579">
        <f t="shared" si="212"/>
        <v>0.13657159859356488</v>
      </c>
    </row>
    <row r="154" spans="1:46" ht="15.75" hidden="1">
      <c r="B154" s="26"/>
      <c r="C154" s="27" t="s">
        <v>6</v>
      </c>
      <c r="D154" s="27"/>
      <c r="E154" s="103"/>
      <c r="F154" s="103"/>
      <c r="G154" s="78">
        <v>81126.391603626063</v>
      </c>
      <c r="H154" s="104"/>
      <c r="J154" s="189">
        <f t="shared" si="206"/>
        <v>11.268291302310761</v>
      </c>
      <c r="L154" s="80">
        <v>10.902188039752851</v>
      </c>
      <c r="M154" s="80">
        <v>10.45332437204021</v>
      </c>
      <c r="N154" s="202">
        <f>G154/$N$9</f>
        <v>5.5228211915665432E-2</v>
      </c>
      <c r="P154" s="160"/>
      <c r="Q154" s="161">
        <f>SUM(Q150:Q153)</f>
        <v>81126.391603626063</v>
      </c>
      <c r="R154" s="594">
        <f>Q154/$E$6</f>
        <v>10.902188039752849</v>
      </c>
      <c r="S154" s="594">
        <f>Q154/($E$7/100)</f>
        <v>10.453324372040209</v>
      </c>
      <c r="T154" s="415">
        <f>Q154/T$9</f>
        <v>5.1655296452239249E-2</v>
      </c>
      <c r="V154" s="160"/>
      <c r="W154" s="161">
        <f>SUM(W150:W153)</f>
        <v>82935.391603626063</v>
      </c>
      <c r="X154" s="594">
        <f>W154/$E$6</f>
        <v>11.145290903988109</v>
      </c>
      <c r="Y154" s="594">
        <f>W154/($E$7/100)</f>
        <v>10.686418232314596</v>
      </c>
      <c r="Z154" s="415">
        <f>W154/Z$9</f>
        <v>5.2032396439374365E-2</v>
      </c>
      <c r="AB154"/>
      <c r="AD154" s="160"/>
      <c r="AE154" s="594">
        <f>SUM(AE150:AE153)</f>
        <v>83794.394611373515</v>
      </c>
      <c r="AF154" s="594">
        <f>AE154/$AB$6</f>
        <v>11.268291302310761</v>
      </c>
      <c r="AG154" s="594">
        <f>AE154/($AB$7/100)</f>
        <v>10.472401203703518</v>
      </c>
      <c r="AH154" s="415">
        <f>AE154/AH$9</f>
        <v>4.9821120273321765E-2</v>
      </c>
      <c r="AJ154" s="160"/>
      <c r="AK154" s="161">
        <f>SUM(AK150:AK153)</f>
        <v>85381.394611373515</v>
      </c>
      <c r="AL154" s="594">
        <f>AK154/$AB$6</f>
        <v>11.481703886526029</v>
      </c>
      <c r="AM154" s="594">
        <f>AK154/($AB$7/100)</f>
        <v>10.670740254750516</v>
      </c>
      <c r="AN154" s="415">
        <f>AK154/AN$9</f>
        <v>4.3874518500760767E-2</v>
      </c>
      <c r="AP154" s="160"/>
      <c r="AQ154" s="161">
        <f>SUM(AQ150:AQ153)</f>
        <v>83794.394611373515</v>
      </c>
      <c r="AR154" s="594">
        <f>AQ154/$AB$6</f>
        <v>11.268291302310761</v>
      </c>
      <c r="AS154" s="594">
        <f>AQ154/($AB$7/100)</f>
        <v>10.472401203703518</v>
      </c>
      <c r="AT154" s="415">
        <f>AQ154/AT$9</f>
        <v>0.95001628408831018</v>
      </c>
    </row>
    <row r="155" spans="1:46" ht="15.75" hidden="1">
      <c r="B155" s="34"/>
      <c r="C155" s="42"/>
      <c r="D155" s="42"/>
      <c r="E155" s="118"/>
      <c r="F155" s="118"/>
      <c r="G155" s="99"/>
      <c r="H155" s="100"/>
      <c r="J155" s="196"/>
      <c r="L155" s="117"/>
      <c r="M155" s="117"/>
      <c r="N155" s="99"/>
      <c r="AB155"/>
    </row>
    <row r="156" spans="1:46" ht="15.75" hidden="1">
      <c r="A156" s="21"/>
      <c r="B156" s="17">
        <v>25</v>
      </c>
      <c r="C156" s="18" t="s">
        <v>58</v>
      </c>
      <c r="D156" s="18" t="s">
        <v>65</v>
      </c>
      <c r="E156" s="18"/>
      <c r="F156" s="18" t="s">
        <v>66</v>
      </c>
      <c r="G156" s="68" t="s">
        <v>67</v>
      </c>
      <c r="H156" s="92"/>
      <c r="J156" s="186" t="s">
        <v>88</v>
      </c>
      <c r="L156" s="69" t="s">
        <v>213</v>
      </c>
      <c r="M156" s="69" t="s">
        <v>214</v>
      </c>
      <c r="N156" s="141" t="s">
        <v>85</v>
      </c>
      <c r="Q156" s="69" t="s">
        <v>67</v>
      </c>
      <c r="R156" s="69" t="s">
        <v>213</v>
      </c>
      <c r="S156" s="69" t="s">
        <v>214</v>
      </c>
      <c r="T156" s="141" t="s">
        <v>85</v>
      </c>
      <c r="W156" s="69" t="s">
        <v>67</v>
      </c>
      <c r="X156" s="69" t="s">
        <v>213</v>
      </c>
      <c r="Y156" s="69" t="s">
        <v>214</v>
      </c>
      <c r="Z156" s="141" t="s">
        <v>85</v>
      </c>
      <c r="AB156"/>
      <c r="AE156" s="69" t="s">
        <v>67</v>
      </c>
      <c r="AF156" s="69" t="s">
        <v>213</v>
      </c>
      <c r="AG156" s="69" t="s">
        <v>214</v>
      </c>
      <c r="AH156" s="141" t="s">
        <v>85</v>
      </c>
      <c r="AK156" s="69" t="s">
        <v>67</v>
      </c>
      <c r="AL156" s="69" t="s">
        <v>213</v>
      </c>
      <c r="AM156" s="69" t="s">
        <v>214</v>
      </c>
      <c r="AN156" s="141" t="s">
        <v>85</v>
      </c>
      <c r="AQ156" s="69" t="s">
        <v>67</v>
      </c>
      <c r="AR156" s="69" t="s">
        <v>213</v>
      </c>
      <c r="AS156" s="69" t="s">
        <v>214</v>
      </c>
      <c r="AT156" s="141" t="s">
        <v>85</v>
      </c>
    </row>
    <row r="157" spans="1:46" ht="15" hidden="1">
      <c r="B157" s="45"/>
      <c r="C157" s="46" t="s">
        <v>254</v>
      </c>
      <c r="D157" s="46"/>
      <c r="E157" s="119"/>
      <c r="F157" s="119"/>
      <c r="G157" s="120"/>
      <c r="H157" s="121"/>
      <c r="J157" s="197"/>
      <c r="L157" s="122"/>
      <c r="M157" s="122"/>
      <c r="N157" s="149"/>
      <c r="AB157"/>
    </row>
    <row r="158" spans="1:46" ht="15.75" hidden="1">
      <c r="B158" s="24"/>
      <c r="C158" s="25" t="s">
        <v>255</v>
      </c>
      <c r="D158" s="25">
        <v>36.607171717171717</v>
      </c>
      <c r="E158" s="109"/>
      <c r="F158" s="110">
        <v>71.434418192732636</v>
      </c>
      <c r="G158" s="74">
        <v>2615.012013297619</v>
      </c>
      <c r="H158" s="83"/>
      <c r="J158" s="188">
        <f t="shared" ref="J158:J202" si="213">IF($D$2=$L$2,L158,IF($D$2=$M$2,M158,IF($D$2=$N$2,N158,IF($D$2=$R$2,R158,IF($D$2=$S$2,S158,IF($D$2=$T$2,T158,IF($D$2=$X$2,X158,IF($D$2=$Y$2,Y158,IF($D$2=$Z$2,Z158,IF($D$2=$AF$2,AF158,IF($D$2=$AG$2,AG158,IF($D$2=$AH$2,AH158,IF($D$2=$AL$2,AL158,IF($D$2=$AM$2,AM158,IF($D$2=$AN$2,AN158,IF($D$2=$AR$2,AR158,IF($D$2=$AS$2,AS158,IF($D$2=$AT$2,AT158))))))))))))))))))</f>
        <v>0.32251853389949331</v>
      </c>
      <c r="L158" s="75">
        <v>0.35141896652419397</v>
      </c>
      <c r="M158" s="75">
        <v>0.33695038410361311</v>
      </c>
      <c r="N158" s="220">
        <f>G158/$N$6</f>
        <v>1.5821059930022838E-3</v>
      </c>
      <c r="P158" s="156">
        <f>71.31/74.95</f>
        <v>0.9514342895263509</v>
      </c>
      <c r="Q158" s="140">
        <f>G158*P158</f>
        <v>2488.0120969746927</v>
      </c>
      <c r="R158" s="579">
        <f>Q158/$E$6</f>
        <v>0.33435205474103097</v>
      </c>
      <c r="S158" s="579">
        <f t="shared" ref="S158:S169" si="214">Q158/($E$7/100)</f>
        <v>0.3205861493052522</v>
      </c>
      <c r="V158" s="156">
        <f>76.04/74.95</f>
        <v>1.0145430286857906</v>
      </c>
      <c r="W158" s="140">
        <f>G158*V158</f>
        <v>2653.0422080206931</v>
      </c>
      <c r="X158" s="579">
        <f t="shared" ref="X158:X169" si="215">W158/$E$6</f>
        <v>0.35652966263508618</v>
      </c>
      <c r="Y158" s="579">
        <f t="shared" ref="Y158:Y169" si="216">W158/($E$7/100)</f>
        <v>0.34185066320532009</v>
      </c>
      <c r="AB158"/>
      <c r="AD158" s="156">
        <f>68.74/76.04</f>
        <v>0.90399789584429235</v>
      </c>
      <c r="AE158" s="579">
        <f>W158*AD158</f>
        <v>2398.3445736368021</v>
      </c>
      <c r="AF158" s="579">
        <f t="shared" ref="AF158:AF168" si="217">AE158/$AB$6</f>
        <v>0.32251853389949331</v>
      </c>
      <c r="AG158" s="579">
        <f t="shared" ref="AG158:AG168" si="218">AE158/($AB$7/100)</f>
        <v>0.29973874405723988</v>
      </c>
      <c r="AJ158" s="156">
        <f>99.9/68.74</f>
        <v>1.4533022985161479</v>
      </c>
      <c r="AK158" s="140">
        <f>AE158*AJ158</f>
        <v>3485.5196815000954</v>
      </c>
      <c r="AL158" s="579">
        <f t="shared" ref="AL158:AL168" si="219">AK158/$AB$6</f>
        <v>0.46871692663019182</v>
      </c>
      <c r="AM158" s="579">
        <f t="shared" ref="AM158:AM168" si="220">AK158/($AB$7/100)</f>
        <v>0.43561100569273015</v>
      </c>
      <c r="AP158" s="156"/>
      <c r="AQ158" s="140">
        <f>AK158*AP158</f>
        <v>0</v>
      </c>
      <c r="AR158" s="579">
        <f t="shared" ref="AR158:AR168" si="221">AQ158/$AB$6</f>
        <v>0</v>
      </c>
      <c r="AS158" s="579">
        <f t="shared" ref="AS158:AS168" si="222">AQ158/($AB$7/100)</f>
        <v>0</v>
      </c>
    </row>
    <row r="159" spans="1:46" ht="15.75" hidden="1">
      <c r="B159" s="24"/>
      <c r="C159" s="25" t="s">
        <v>256</v>
      </c>
      <c r="D159" s="25"/>
      <c r="E159" s="111">
        <f>D227</f>
        <v>7441.2944729822502</v>
      </c>
      <c r="F159" s="110"/>
      <c r="G159" s="74">
        <v>133.48739806430257</v>
      </c>
      <c r="H159" s="83"/>
      <c r="I159" s="57"/>
      <c r="J159" s="188">
        <f t="shared" si="213"/>
        <v>3.9999731049043204E-2</v>
      </c>
      <c r="K159" s="57"/>
      <c r="L159" s="75">
        <v>1.7938733448725458E-2</v>
      </c>
      <c r="M159" s="75">
        <v>1.7200161919730179E-2</v>
      </c>
      <c r="N159" s="220">
        <f t="shared" ref="N159:N160" si="223">G159/$N$6</f>
        <v>8.0761086906631544E-5</v>
      </c>
      <c r="P159" s="162">
        <v>0.02</v>
      </c>
      <c r="Q159" s="140">
        <f>$E159*P159</f>
        <v>148.825889459645</v>
      </c>
      <c r="R159" s="579">
        <f t="shared" ref="R159" si="224">Q159/$E$6</f>
        <v>0.02</v>
      </c>
      <c r="S159" s="579">
        <f t="shared" si="214"/>
        <v>1.9176562234890941E-2</v>
      </c>
      <c r="V159" s="162">
        <v>0.03</v>
      </c>
      <c r="W159" s="140">
        <f>$E159*V159</f>
        <v>223.2388341894675</v>
      </c>
      <c r="X159" s="579">
        <f t="shared" si="215"/>
        <v>0.03</v>
      </c>
      <c r="Y159" s="579">
        <f t="shared" si="216"/>
        <v>2.8764843352336412E-2</v>
      </c>
      <c r="AB159"/>
      <c r="AD159" s="162">
        <f>297.45/E159</f>
        <v>3.9972883895399831E-2</v>
      </c>
      <c r="AE159" s="579">
        <f>$E159*AD159</f>
        <v>297.45</v>
      </c>
      <c r="AF159" s="579">
        <f t="shared" si="217"/>
        <v>3.9999731049043204E-2</v>
      </c>
      <c r="AG159" s="579">
        <f t="shared" si="218"/>
        <v>3.7174512119678309E-2</v>
      </c>
      <c r="AJ159" s="162"/>
      <c r="AK159" s="140">
        <v>371.81</v>
      </c>
      <c r="AL159" s="579">
        <f t="shared" si="219"/>
        <v>4.9999327622608017E-2</v>
      </c>
      <c r="AM159" s="579">
        <f t="shared" si="220"/>
        <v>4.6467827706228246E-2</v>
      </c>
      <c r="AP159" s="162"/>
      <c r="AQ159" s="140">
        <f>$E159*AP159</f>
        <v>0</v>
      </c>
      <c r="AR159" s="579">
        <f t="shared" si="221"/>
        <v>0</v>
      </c>
      <c r="AS159" s="579">
        <f t="shared" si="222"/>
        <v>0</v>
      </c>
    </row>
    <row r="160" spans="1:46" ht="15.75" hidden="1">
      <c r="B160" s="24"/>
      <c r="C160" s="25" t="s">
        <v>257</v>
      </c>
      <c r="D160" s="25"/>
      <c r="E160" s="64">
        <f>E159</f>
        <v>7441.2944729822502</v>
      </c>
      <c r="F160" s="83"/>
      <c r="G160" s="74">
        <v>563.73595619633181</v>
      </c>
      <c r="H160" s="83"/>
      <c r="I160" s="57"/>
      <c r="J160" s="188">
        <f t="shared" si="213"/>
        <v>4.9999327622608017E-2</v>
      </c>
      <c r="K160" s="57"/>
      <c r="L160" s="75">
        <v>7.575778088652943E-2</v>
      </c>
      <c r="M160" s="75">
        <v>7.2638689997388164E-2</v>
      </c>
      <c r="N160" s="220">
        <f t="shared" si="223"/>
        <v>3.4106536804945147E-4</v>
      </c>
      <c r="P160" s="162">
        <v>0.04</v>
      </c>
      <c r="Q160" s="140">
        <f>$E160*P160</f>
        <v>297.65177891929</v>
      </c>
      <c r="R160" s="579">
        <f t="shared" ref="R160" si="225">Q160/$E$6</f>
        <v>0.04</v>
      </c>
      <c r="S160" s="579">
        <f t="shared" si="214"/>
        <v>3.8353124469781882E-2</v>
      </c>
      <c r="V160" s="162">
        <v>0.08</v>
      </c>
      <c r="W160" s="140">
        <f>$E160*V160</f>
        <v>595.30355783857999</v>
      </c>
      <c r="X160" s="579">
        <f t="shared" si="215"/>
        <v>0.08</v>
      </c>
      <c r="Y160" s="579">
        <f t="shared" si="216"/>
        <v>7.6706248939563765E-2</v>
      </c>
      <c r="AB160"/>
      <c r="AD160" s="162">
        <f>371.81/E160</f>
        <v>4.9965768906198062E-2</v>
      </c>
      <c r="AE160" s="579">
        <f>$E160*AD160</f>
        <v>371.81</v>
      </c>
      <c r="AF160" s="579">
        <f t="shared" si="217"/>
        <v>4.9999327622608017E-2</v>
      </c>
      <c r="AG160" s="579">
        <f t="shared" si="218"/>
        <v>4.6467827706228246E-2</v>
      </c>
      <c r="AJ160" s="162"/>
      <c r="AK160" s="140">
        <v>371.81</v>
      </c>
      <c r="AL160" s="579">
        <f t="shared" si="219"/>
        <v>4.9999327622608017E-2</v>
      </c>
      <c r="AM160" s="579">
        <f t="shared" si="220"/>
        <v>4.6467827706228246E-2</v>
      </c>
      <c r="AP160" s="162"/>
      <c r="AQ160" s="140">
        <f>$E160*AP160</f>
        <v>0</v>
      </c>
      <c r="AR160" s="579">
        <f t="shared" si="221"/>
        <v>0</v>
      </c>
      <c r="AS160" s="579">
        <f t="shared" si="222"/>
        <v>0</v>
      </c>
    </row>
    <row r="161" spans="1:46" ht="15.75" hidden="1">
      <c r="B161" s="24"/>
      <c r="C161" s="25" t="s">
        <v>258</v>
      </c>
      <c r="D161" s="25"/>
      <c r="E161" s="64"/>
      <c r="F161" s="83"/>
      <c r="G161" s="74">
        <v>21195.302111402863</v>
      </c>
      <c r="H161" s="83"/>
      <c r="I161" s="57"/>
      <c r="J161" s="188">
        <f t="shared" si="213"/>
        <v>1.5999892419617283</v>
      </c>
      <c r="K161" s="57"/>
      <c r="L161" s="75">
        <v>2.8483353519147072</v>
      </c>
      <c r="M161" s="75">
        <v>2.7310640070916192</v>
      </c>
      <c r="N161" s="220"/>
      <c r="Q161" s="140">
        <f>G161</f>
        <v>21195.302111402863</v>
      </c>
      <c r="R161" s="579">
        <f t="shared" ref="R161:R168" si="226">Q161/$E$6</f>
        <v>2.8483353519147072</v>
      </c>
      <c r="S161" s="579">
        <f t="shared" si="214"/>
        <v>2.7310640070916188</v>
      </c>
      <c r="W161" s="140">
        <v>15642</v>
      </c>
      <c r="X161" s="579">
        <f t="shared" si="215"/>
        <v>2.1020536220939459</v>
      </c>
      <c r="Y161" s="579">
        <f t="shared" si="216"/>
        <v>2.0155081052581241</v>
      </c>
      <c r="AB161"/>
      <c r="AE161" s="614">
        <v>11898</v>
      </c>
      <c r="AF161" s="579">
        <f t="shared" si="217"/>
        <v>1.5999892419617283</v>
      </c>
      <c r="AG161" s="579">
        <f t="shared" si="218"/>
        <v>1.4869804847871324</v>
      </c>
      <c r="AK161" s="620">
        <v>10633.91</v>
      </c>
      <c r="AL161" s="579">
        <f t="shared" si="219"/>
        <v>1.4300001344754782</v>
      </c>
      <c r="AM161" s="579">
        <f t="shared" si="220"/>
        <v>1.328997869136219</v>
      </c>
      <c r="AQ161" s="140">
        <f>AK161</f>
        <v>10633.91</v>
      </c>
      <c r="AR161" s="579">
        <f t="shared" si="221"/>
        <v>1.4300001344754782</v>
      </c>
      <c r="AS161" s="579">
        <f t="shared" si="222"/>
        <v>1.328997869136219</v>
      </c>
    </row>
    <row r="162" spans="1:46" ht="15.75" hidden="1">
      <c r="B162" s="24"/>
      <c r="C162" s="25" t="s">
        <v>259</v>
      </c>
      <c r="D162" s="25"/>
      <c r="E162" s="64">
        <f>E160</f>
        <v>7441.2944729822502</v>
      </c>
      <c r="F162" s="83"/>
      <c r="G162" s="74">
        <v>2937.8272117110932</v>
      </c>
      <c r="H162" s="83"/>
      <c r="I162" s="57"/>
      <c r="J162" s="188">
        <f t="shared" si="213"/>
        <v>0.69939889461156746</v>
      </c>
      <c r="K162" s="57"/>
      <c r="L162" s="75">
        <v>0.39480055820633303</v>
      </c>
      <c r="M162" s="75">
        <v>0.3785458737406715</v>
      </c>
      <c r="N162" s="220"/>
      <c r="P162" s="162">
        <v>0.15</v>
      </c>
      <c r="Q162" s="140">
        <f>$E162*P162</f>
        <v>1116.1941709473374</v>
      </c>
      <c r="R162" s="579">
        <f t="shared" si="226"/>
        <v>0.15</v>
      </c>
      <c r="S162" s="579">
        <f t="shared" si="214"/>
        <v>0.14382421676168206</v>
      </c>
      <c r="V162" s="156">
        <v>3.58</v>
      </c>
      <c r="W162" s="140">
        <f>$G162*V162</f>
        <v>10517.421417925714</v>
      </c>
      <c r="X162" s="579">
        <f t="shared" si="215"/>
        <v>1.4133859983786723</v>
      </c>
      <c r="Y162" s="579">
        <f t="shared" si="216"/>
        <v>1.3551942279916041</v>
      </c>
      <c r="AB162"/>
      <c r="AD162" s="162">
        <f>5200.94/E162</f>
        <v>0.69892946971571968</v>
      </c>
      <c r="AE162" s="579">
        <f>$E162*AD162</f>
        <v>5200.9399999999996</v>
      </c>
      <c r="AF162" s="579">
        <f t="shared" si="217"/>
        <v>0.69939889461156746</v>
      </c>
      <c r="AG162" s="579">
        <f t="shared" si="218"/>
        <v>0.64999968755663029</v>
      </c>
      <c r="AJ162" s="162"/>
      <c r="AK162" s="140">
        <v>-15202.76</v>
      </c>
      <c r="AL162" s="579">
        <f t="shared" si="219"/>
        <v>-2.0443984239473934</v>
      </c>
      <c r="AM162" s="579">
        <f t="shared" si="220"/>
        <v>-1.9000006248867394</v>
      </c>
      <c r="AP162" s="162"/>
      <c r="AQ162" s="140">
        <f>$E162*AP162</f>
        <v>0</v>
      </c>
      <c r="AR162" s="579">
        <f t="shared" si="221"/>
        <v>0</v>
      </c>
      <c r="AS162" s="579">
        <f t="shared" si="222"/>
        <v>0</v>
      </c>
    </row>
    <row r="163" spans="1:46" ht="15.75" hidden="1">
      <c r="B163" s="24"/>
      <c r="C163" s="25" t="s">
        <v>260</v>
      </c>
      <c r="D163" s="25">
        <v>124.1611111111111</v>
      </c>
      <c r="E163" s="64"/>
      <c r="F163" s="83">
        <v>191.7834386375753</v>
      </c>
      <c r="G163" s="74">
        <v>23812.044833950946</v>
      </c>
      <c r="H163" s="83"/>
      <c r="I163" s="57"/>
      <c r="J163" s="188">
        <f t="shared" si="213"/>
        <v>2.0835644070303783</v>
      </c>
      <c r="K163" s="57"/>
      <c r="L163" s="75">
        <v>3.1999869001834815</v>
      </c>
      <c r="M163" s="75">
        <v>3.0682373971102144</v>
      </c>
      <c r="N163" s="220"/>
      <c r="P163" s="156">
        <v>0.90039999999999998</v>
      </c>
      <c r="Q163" s="140">
        <f t="shared" ref="Q163:Q168" si="227">G163*P163</f>
        <v>21440.365168489432</v>
      </c>
      <c r="R163" s="579">
        <f t="shared" si="226"/>
        <v>2.881268204925207</v>
      </c>
      <c r="S163" s="579">
        <f t="shared" si="214"/>
        <v>2.7626409523580371</v>
      </c>
      <c r="V163" s="156">
        <v>0.91930000000000001</v>
      </c>
      <c r="W163" s="140">
        <f t="shared" ref="W163:W168" si="228">G163*V163</f>
        <v>21890.412815851105</v>
      </c>
      <c r="X163" s="579">
        <f t="shared" si="215"/>
        <v>2.9417479573386749</v>
      </c>
      <c r="Y163" s="579">
        <f t="shared" si="216"/>
        <v>2.8206306391634199</v>
      </c>
      <c r="AB163"/>
      <c r="AD163" s="156">
        <f>15494.01/(W163+W164)</f>
        <v>0.70490607316215503</v>
      </c>
      <c r="AE163" s="579">
        <f>(W163+W164)*AD163</f>
        <v>15494.010000000002</v>
      </c>
      <c r="AF163" s="579">
        <f t="shared" si="217"/>
        <v>2.0835644070303783</v>
      </c>
      <c r="AG163" s="579">
        <f t="shared" si="218"/>
        <v>1.9364002774497124</v>
      </c>
      <c r="AJ163" s="156">
        <v>2.1570999999999998</v>
      </c>
      <c r="AK163" s="140">
        <f t="shared" ref="AK163:AK168" si="229">AE163*AJ163</f>
        <v>33422.128970999998</v>
      </c>
      <c r="AL163" s="579">
        <f t="shared" si="219"/>
        <v>4.4944567824052282</v>
      </c>
      <c r="AM163" s="579">
        <f t="shared" si="220"/>
        <v>4.1770090384867737</v>
      </c>
      <c r="AP163" s="156"/>
      <c r="AQ163" s="140">
        <f t="shared" ref="AQ163:AQ168" si="230">AK163*AP163</f>
        <v>0</v>
      </c>
      <c r="AR163" s="579">
        <f t="shared" si="221"/>
        <v>0</v>
      </c>
      <c r="AS163" s="579">
        <f t="shared" si="222"/>
        <v>0</v>
      </c>
    </row>
    <row r="164" spans="1:46" ht="15.75" hidden="1">
      <c r="B164" s="24"/>
      <c r="C164" s="25" t="s">
        <v>261</v>
      </c>
      <c r="D164" s="25">
        <v>1.707943722943722</v>
      </c>
      <c r="E164" s="64"/>
      <c r="F164" s="83">
        <v>57.215481262752398</v>
      </c>
      <c r="G164" s="74">
        <v>97.720822077922094</v>
      </c>
      <c r="H164" s="83"/>
      <c r="I164" s="57"/>
      <c r="J164" s="188">
        <f t="shared" si="213"/>
        <v>0</v>
      </c>
      <c r="K164" s="57"/>
      <c r="L164" s="75">
        <v>1.313223424133066E-2</v>
      </c>
      <c r="M164" s="75">
        <v>1.2591555360602164E-2</v>
      </c>
      <c r="N164" s="220"/>
      <c r="P164" s="156">
        <v>0.90039999999999998</v>
      </c>
      <c r="Q164" s="140">
        <f t="shared" si="227"/>
        <v>87.987828198961054</v>
      </c>
      <c r="R164" s="579">
        <f t="shared" si="226"/>
        <v>1.1824263710894126E-2</v>
      </c>
      <c r="S164" s="579">
        <f t="shared" si="214"/>
        <v>1.1337436446686187E-2</v>
      </c>
      <c r="V164" s="157">
        <f>V163</f>
        <v>0.91930000000000001</v>
      </c>
      <c r="W164" s="140">
        <f t="shared" si="228"/>
        <v>89.834751736233784</v>
      </c>
      <c r="X164" s="579">
        <f t="shared" si="215"/>
        <v>1.2072462938055277E-2</v>
      </c>
      <c r="Y164" s="579">
        <f t="shared" si="216"/>
        <v>1.1575416843001568E-2</v>
      </c>
      <c r="AB164"/>
      <c r="AE164" s="579"/>
      <c r="AF164" s="579">
        <f t="shared" si="217"/>
        <v>0</v>
      </c>
      <c r="AG164" s="579">
        <f t="shared" si="218"/>
        <v>0</v>
      </c>
      <c r="AJ164" s="156"/>
      <c r="AK164" s="140">
        <f t="shared" si="229"/>
        <v>0</v>
      </c>
      <c r="AL164" s="579">
        <f t="shared" si="219"/>
        <v>0</v>
      </c>
      <c r="AM164" s="579">
        <f t="shared" si="220"/>
        <v>0</v>
      </c>
      <c r="AP164" s="156"/>
      <c r="AQ164" s="140">
        <f t="shared" si="230"/>
        <v>0</v>
      </c>
      <c r="AR164" s="579">
        <f t="shared" si="221"/>
        <v>0</v>
      </c>
      <c r="AS164" s="579">
        <f t="shared" si="222"/>
        <v>0</v>
      </c>
    </row>
    <row r="165" spans="1:46" ht="15.75" hidden="1">
      <c r="B165" s="24"/>
      <c r="C165" s="25" t="s">
        <v>262</v>
      </c>
      <c r="D165" s="25">
        <v>4.6050072150072072</v>
      </c>
      <c r="E165" s="64"/>
      <c r="F165" s="83">
        <v>315.02555415019765</v>
      </c>
      <c r="G165" s="74">
        <v>1450.6949497733037</v>
      </c>
      <c r="H165" s="83"/>
      <c r="I165" s="57"/>
      <c r="J165" s="188">
        <f t="shared" si="213"/>
        <v>0.1987796046527596</v>
      </c>
      <c r="K165" s="57"/>
      <c r="L165" s="75">
        <v>0.1949519609848081</v>
      </c>
      <c r="M165" s="75">
        <v>0.18692542063196016</v>
      </c>
      <c r="N165" s="220"/>
      <c r="P165" s="156">
        <f>850/50</f>
        <v>17</v>
      </c>
      <c r="Q165" s="140">
        <f t="shared" si="227"/>
        <v>24661.814146146164</v>
      </c>
      <c r="R165" s="579">
        <f t="shared" si="226"/>
        <v>3.3141833367417375</v>
      </c>
      <c r="S165" s="579">
        <f t="shared" si="214"/>
        <v>3.1777321507433229</v>
      </c>
      <c r="V165" s="156">
        <f>329.81/328.77</f>
        <v>1.0031633056544089</v>
      </c>
      <c r="W165" s="140">
        <f t="shared" si="228"/>
        <v>1455.283941310744</v>
      </c>
      <c r="X165" s="579">
        <f t="shared" si="215"/>
        <v>0.19556865362532944</v>
      </c>
      <c r="Y165" s="579">
        <f t="shared" si="216"/>
        <v>0.187516722871998</v>
      </c>
      <c r="AB165"/>
      <c r="AD165" s="156">
        <f>335/329.81</f>
        <v>1.0157363330402354</v>
      </c>
      <c r="AE165" s="579">
        <f t="shared" ref="AE165:AE168" si="231">W165*AD165</f>
        <v>1478.1847740793162</v>
      </c>
      <c r="AF165" s="579">
        <f t="shared" si="217"/>
        <v>0.1987796046527596</v>
      </c>
      <c r="AG165" s="579">
        <f t="shared" si="218"/>
        <v>0.18473961270511172</v>
      </c>
      <c r="AJ165" s="156">
        <f>352.5/335</f>
        <v>1.0522388059701493</v>
      </c>
      <c r="AK165" s="140">
        <f t="shared" si="229"/>
        <v>1555.4033816804745</v>
      </c>
      <c r="AL165" s="579">
        <f t="shared" si="219"/>
        <v>0.20916361385103807</v>
      </c>
      <c r="AM165" s="579">
        <f t="shared" si="220"/>
        <v>0.19439018948821457</v>
      </c>
      <c r="AP165" s="156"/>
      <c r="AQ165" s="140">
        <f t="shared" si="230"/>
        <v>0</v>
      </c>
      <c r="AR165" s="579">
        <f t="shared" si="221"/>
        <v>0</v>
      </c>
      <c r="AS165" s="579">
        <f t="shared" si="222"/>
        <v>0</v>
      </c>
    </row>
    <row r="166" spans="1:46" ht="15.75" hidden="1">
      <c r="B166" s="24"/>
      <c r="C166" s="25" t="s">
        <v>263</v>
      </c>
      <c r="D166" s="25">
        <v>2.8138528138528171E-3</v>
      </c>
      <c r="E166" s="64"/>
      <c r="F166" s="83">
        <v>415</v>
      </c>
      <c r="G166" s="74">
        <v>1.1677489177489191</v>
      </c>
      <c r="H166" s="83"/>
      <c r="I166" s="57"/>
      <c r="J166" s="188">
        <f t="shared" si="213"/>
        <v>1.5703359436129784E-4</v>
      </c>
      <c r="K166" s="57"/>
      <c r="L166" s="75">
        <v>1.5692819602674854E-4</v>
      </c>
      <c r="M166" s="75">
        <v>1.5046716587580546E-4</v>
      </c>
      <c r="N166" s="220"/>
      <c r="P166" s="156">
        <f>850/850</f>
        <v>1</v>
      </c>
      <c r="Q166" s="140">
        <f>G166*P166</f>
        <v>1.1677489177489191</v>
      </c>
      <c r="R166" s="579">
        <f t="shared" si="226"/>
        <v>1.5692819602674854E-4</v>
      </c>
      <c r="S166" s="579">
        <f t="shared" si="214"/>
        <v>1.5046716587580546E-4</v>
      </c>
      <c r="V166" s="156">
        <f>850/850</f>
        <v>1</v>
      </c>
      <c r="W166" s="140">
        <f>G166*V166</f>
        <v>1.1677489177489191</v>
      </c>
      <c r="X166" s="579">
        <f t="shared" si="215"/>
        <v>1.5692819602674854E-4</v>
      </c>
      <c r="Y166" s="579">
        <f t="shared" si="216"/>
        <v>1.5046716587580546E-4</v>
      </c>
      <c r="AB166"/>
      <c r="AD166" s="156">
        <f>850/850</f>
        <v>1</v>
      </c>
      <c r="AE166" s="579">
        <f>W166*AD166</f>
        <v>1.1677489177489191</v>
      </c>
      <c r="AF166" s="579">
        <f t="shared" si="217"/>
        <v>1.5703359436129784E-4</v>
      </c>
      <c r="AG166" s="579">
        <f t="shared" si="218"/>
        <v>1.4594216270162521E-4</v>
      </c>
      <c r="AJ166" s="156">
        <v>1</v>
      </c>
      <c r="AK166" s="140">
        <f t="shared" si="229"/>
        <v>1.1677489177489191</v>
      </c>
      <c r="AL166" s="579">
        <f t="shared" si="219"/>
        <v>1.5703359436129784E-4</v>
      </c>
      <c r="AM166" s="579">
        <f t="shared" si="220"/>
        <v>1.4594216270162521E-4</v>
      </c>
      <c r="AP166" s="156"/>
      <c r="AQ166" s="140">
        <f t="shared" si="230"/>
        <v>0</v>
      </c>
      <c r="AR166" s="579">
        <f t="shared" si="221"/>
        <v>0</v>
      </c>
      <c r="AS166" s="579">
        <f t="shared" si="222"/>
        <v>0</v>
      </c>
    </row>
    <row r="167" spans="1:46" ht="15.75" hidden="1">
      <c r="B167" s="24"/>
      <c r="C167" s="25" t="s">
        <v>264</v>
      </c>
      <c r="D167" s="25">
        <v>119.87920161135162</v>
      </c>
      <c r="E167" s="64"/>
      <c r="F167" s="83">
        <v>42.133300271745235</v>
      </c>
      <c r="G167" s="74">
        <v>5050.9063978281629</v>
      </c>
      <c r="H167" s="83"/>
      <c r="I167" s="57"/>
      <c r="J167" s="188">
        <f t="shared" si="213"/>
        <v>0.6859174436490002</v>
      </c>
      <c r="K167" s="57"/>
      <c r="L167" s="75">
        <v>0.67876717097635697</v>
      </c>
      <c r="M167" s="75">
        <v>0.65082104486144854</v>
      </c>
      <c r="N167" s="220"/>
      <c r="P167" s="156">
        <f>36.07/39.57</f>
        <v>0.91154915339903964</v>
      </c>
      <c r="Q167" s="140">
        <f t="shared" si="227"/>
        <v>4604.1494508380547</v>
      </c>
      <c r="R167" s="579">
        <f t="shared" si="226"/>
        <v>0.61872964005855935</v>
      </c>
      <c r="S167" s="579">
        <f t="shared" si="214"/>
        <v>0.59325537245773174</v>
      </c>
      <c r="V167" s="156">
        <f>39.75/39.57</f>
        <v>1.0045489006823352</v>
      </c>
      <c r="W167" s="140">
        <f t="shared" si="228"/>
        <v>5073.8824693876541</v>
      </c>
      <c r="X167" s="579">
        <f t="shared" si="215"/>
        <v>0.68185481542355797</v>
      </c>
      <c r="Y167" s="579">
        <f t="shared" si="216"/>
        <v>0.65378156515649677</v>
      </c>
      <c r="AB167"/>
      <c r="AD167" s="156">
        <f>39.96/39.75</f>
        <v>1.0052830188679245</v>
      </c>
      <c r="AE167" s="579">
        <f t="shared" si="231"/>
        <v>5100.6878862070607</v>
      </c>
      <c r="AF167" s="579">
        <f t="shared" si="217"/>
        <v>0.6859174436490002</v>
      </c>
      <c r="AG167" s="579">
        <f t="shared" si="218"/>
        <v>0.63747044425786081</v>
      </c>
      <c r="AJ167" s="156">
        <f>50.72/39.96</f>
        <v>1.2692692692692693</v>
      </c>
      <c r="AK167" s="140">
        <f t="shared" si="229"/>
        <v>6474.1463860966496</v>
      </c>
      <c r="AL167" s="579">
        <f t="shared" si="219"/>
        <v>0.87061393247941177</v>
      </c>
      <c r="AM167" s="579">
        <f t="shared" si="220"/>
        <v>0.80912164496393146</v>
      </c>
      <c r="AP167" s="156"/>
      <c r="AQ167" s="140">
        <f t="shared" si="230"/>
        <v>0</v>
      </c>
      <c r="AR167" s="579">
        <f t="shared" si="221"/>
        <v>0</v>
      </c>
      <c r="AS167" s="579">
        <f t="shared" si="222"/>
        <v>0</v>
      </c>
    </row>
    <row r="168" spans="1:46" ht="15.75" hidden="1">
      <c r="B168" s="24"/>
      <c r="C168" s="25" t="s">
        <v>265</v>
      </c>
      <c r="D168" s="25">
        <v>380.31014462236624</v>
      </c>
      <c r="E168" s="64"/>
      <c r="F168" s="83">
        <v>71.117977713214586</v>
      </c>
      <c r="G168" s="74">
        <v>27046.888389362859</v>
      </c>
      <c r="H168" s="83"/>
      <c r="I168" s="57"/>
      <c r="J168" s="188">
        <f t="shared" si="213"/>
        <v>3.6589761915682986</v>
      </c>
      <c r="K168" s="57"/>
      <c r="L168" s="75">
        <v>3.634702065287744</v>
      </c>
      <c r="M168" s="75">
        <v>3.4850545180138535</v>
      </c>
      <c r="N168" s="220"/>
      <c r="P168" s="156">
        <f>61.47/64.97</f>
        <v>0.94612898260735723</v>
      </c>
      <c r="Q168" s="140">
        <f t="shared" si="227"/>
        <v>25589.844994522624</v>
      </c>
      <c r="R168" s="579">
        <f t="shared" si="226"/>
        <v>3.4388969671115532</v>
      </c>
      <c r="S168" s="579">
        <f t="shared" si="214"/>
        <v>3.2973110854596208</v>
      </c>
      <c r="V168" s="156">
        <f>65.15/64.97</f>
        <v>1.0027705094659074</v>
      </c>
      <c r="W168" s="140">
        <f t="shared" si="228"/>
        <v>27121.822049668928</v>
      </c>
      <c r="X168" s="579">
        <f t="shared" si="215"/>
        <v>3.6447720417653766</v>
      </c>
      <c r="Y168" s="579">
        <f t="shared" si="216"/>
        <v>3.4947098945452137</v>
      </c>
      <c r="AB168"/>
      <c r="AD168" s="156">
        <f>65.36/65.15</f>
        <v>1.0032233307751341</v>
      </c>
      <c r="AE168" s="579">
        <f t="shared" si="231"/>
        <v>27209.244653359339</v>
      </c>
      <c r="AF168" s="579">
        <f t="shared" si="217"/>
        <v>3.6589761915682986</v>
      </c>
      <c r="AG168" s="579">
        <f t="shared" si="218"/>
        <v>3.4005392339337668</v>
      </c>
      <c r="AJ168" s="156">
        <f>76.12/65.36</f>
        <v>1.1646266829865362</v>
      </c>
      <c r="AK168" s="140">
        <f t="shared" si="229"/>
        <v>31688.61234721103</v>
      </c>
      <c r="AL168" s="579">
        <f t="shared" si="219"/>
        <v>4.2613413051128965</v>
      </c>
      <c r="AM168" s="579">
        <f t="shared" si="220"/>
        <v>3.9603587283818595</v>
      </c>
      <c r="AP168" s="156"/>
      <c r="AQ168" s="140">
        <f t="shared" si="230"/>
        <v>0</v>
      </c>
      <c r="AR168" s="579">
        <f t="shared" si="221"/>
        <v>0</v>
      </c>
      <c r="AS168" s="579">
        <f t="shared" si="222"/>
        <v>0</v>
      </c>
    </row>
    <row r="169" spans="1:46" ht="15.75" hidden="1">
      <c r="B169" s="47"/>
      <c r="C169" s="48"/>
      <c r="D169" s="48"/>
      <c r="E169" s="49"/>
      <c r="F169" s="90" t="s">
        <v>69</v>
      </c>
      <c r="G169" s="123">
        <v>84904.787832583155</v>
      </c>
      <c r="H169" s="121"/>
      <c r="J169" s="198">
        <f t="shared" si="213"/>
        <v>9.3393004096392378</v>
      </c>
      <c r="L169" s="124">
        <v>11.409948650850236</v>
      </c>
      <c r="M169" s="124">
        <v>10.940179519996976</v>
      </c>
      <c r="N169" s="221">
        <f>G169/$N$6</f>
        <v>5.1368166945865976E-2</v>
      </c>
      <c r="P169" s="160"/>
      <c r="Q169" s="161">
        <f>SUM(Q158:Q168)</f>
        <v>101631.31538481681</v>
      </c>
      <c r="R169" s="594">
        <f>Q169/$E$6</f>
        <v>13.657746747399717</v>
      </c>
      <c r="S169" s="594">
        <f t="shared" si="214"/>
        <v>13.095431524494501</v>
      </c>
      <c r="T169" s="160"/>
      <c r="V169" s="160"/>
      <c r="W169" s="161">
        <f>SUM(W158:W168)</f>
        <v>85263.40979484687</v>
      </c>
      <c r="X169" s="594">
        <f t="shared" si="215"/>
        <v>11.458142142394726</v>
      </c>
      <c r="Y169" s="594">
        <f t="shared" si="216"/>
        <v>10.986388794492955</v>
      </c>
      <c r="Z169" s="160"/>
      <c r="AB169"/>
      <c r="AD169" s="160"/>
      <c r="AE169" s="594">
        <f>SUM(AE158:AE168)</f>
        <v>69449.839636200268</v>
      </c>
      <c r="AF169" s="594">
        <f>AE169/$AB$6</f>
        <v>9.3393004096392378</v>
      </c>
      <c r="AG169" s="594">
        <f>AE169/($AB$7/100)</f>
        <v>8.6796567667360627</v>
      </c>
      <c r="AH169" s="160"/>
      <c r="AJ169" s="160"/>
      <c r="AK169" s="161">
        <f>SUM(AK158:AK168)</f>
        <v>72801.748516405991</v>
      </c>
      <c r="AL169" s="594">
        <f>AK169/$AB$6</f>
        <v>9.7900499598464279</v>
      </c>
      <c r="AM169" s="594">
        <f>AK169/($AB$7/100)</f>
        <v>9.0985694488381466</v>
      </c>
      <c r="AN169" s="160"/>
      <c r="AP169" s="160"/>
      <c r="AQ169" s="161">
        <f>SUM(AQ158:AQ168)</f>
        <v>10633.91</v>
      </c>
      <c r="AR169" s="594">
        <f>AQ169/$AB$6</f>
        <v>1.4300001344754782</v>
      </c>
      <c r="AS169" s="594">
        <f>AQ169/($AB$7/100)</f>
        <v>1.328997869136219</v>
      </c>
      <c r="AT169" s="160"/>
    </row>
    <row r="170" spans="1:46" ht="15.75" hidden="1">
      <c r="B170" s="47"/>
      <c r="C170" s="49"/>
      <c r="D170" s="49"/>
      <c r="E170" s="49"/>
      <c r="F170" s="48"/>
      <c r="G170" s="125"/>
      <c r="H170" s="121"/>
      <c r="J170" s="199">
        <f t="shared" si="213"/>
        <v>0</v>
      </c>
      <c r="L170" s="126"/>
      <c r="M170" s="126">
        <v>0</v>
      </c>
      <c r="N170" s="151"/>
      <c r="AB170"/>
    </row>
    <row r="171" spans="1:46" ht="15" hidden="1">
      <c r="B171" s="50"/>
      <c r="C171" s="51" t="s">
        <v>266</v>
      </c>
      <c r="D171" s="51"/>
      <c r="E171" s="127"/>
      <c r="F171" s="127"/>
      <c r="G171" s="128" t="s">
        <v>67</v>
      </c>
      <c r="H171" s="121"/>
      <c r="J171" s="197">
        <f t="shared" ref="J171:J182" si="232">IF($D$2=$L$2,L171,IF($D$2=$M$2,M171,IF($D$2=$N$2,N171,IF($D$2=$R$2,R171,IF($D$2=$S$2,S171,IF($D$2=$T$2,T171,IF($D$2=$X$2,X171,IF($D$2=$Y$2,Y171,IF($D$2=$Z$2,Z171,IF($D$2=$AF$2,AF171,IF($D$2=$AG$2,AG171,IF($D$2=$AH$2,AH171,IF($D$2=$AL$2,AL171,IF($D$2=$AM$2,AM171,IF($D$2=$AN$2,AN171,IF($D$2=$AR$2,AR171,IF($D$2=$AS$2,AS171,IF($D$2=$AT$2,AT171))))))))))))))))))</f>
        <v>0</v>
      </c>
      <c r="L171" s="122"/>
      <c r="M171" s="122"/>
      <c r="N171" s="149"/>
      <c r="AB171"/>
    </row>
    <row r="172" spans="1:46" ht="15.75" hidden="1">
      <c r="B172" s="24"/>
      <c r="C172" s="44" t="s">
        <v>201</v>
      </c>
      <c r="D172" s="44">
        <v>147.10470115835423</v>
      </c>
      <c r="E172" s="64"/>
      <c r="F172" s="83">
        <v>189.47999999999993</v>
      </c>
      <c r="G172" s="74">
        <v>27873.398775484951</v>
      </c>
      <c r="H172" s="83"/>
      <c r="J172" s="188">
        <f t="shared" si="232"/>
        <v>3.4758979600069928</v>
      </c>
      <c r="L172" s="75">
        <v>3.7457728459325597</v>
      </c>
      <c r="M172" s="75">
        <v>3.591552304889515</v>
      </c>
      <c r="N172" s="143"/>
      <c r="P172" s="162">
        <v>185.55</v>
      </c>
      <c r="Q172" s="140">
        <f>$D172*P172</f>
        <v>27295.27729993263</v>
      </c>
      <c r="R172" s="579">
        <f t="shared" ref="R172:R181" si="233">Q172/$E$6</f>
        <v>3.6680818638525792</v>
      </c>
      <c r="S172" s="579">
        <f t="shared" ref="S172:S182" si="234">Q172/($E$7/100)</f>
        <v>3.5170600072421876</v>
      </c>
      <c r="V172" s="162">
        <v>184.8</v>
      </c>
      <c r="W172" s="140">
        <f>$D172*V172</f>
        <v>27184.948774063865</v>
      </c>
      <c r="X172" s="579">
        <f t="shared" ref="X172:X182" si="235">W172/$E$6</f>
        <v>3.6532553405548729</v>
      </c>
      <c r="Y172" s="579">
        <f t="shared" ref="Y172:Y182" si="236">W172/($E$7/100)</f>
        <v>3.5028439199049113</v>
      </c>
      <c r="AB172"/>
      <c r="AD172" s="162">
        <f>25847.82/D172</f>
        <v>175.71036001205374</v>
      </c>
      <c r="AE172" s="579">
        <f>$D172*AD172</f>
        <v>25847.82</v>
      </c>
      <c r="AF172" s="579">
        <f t="shared" ref="AF172:AF181" si="237">AE172/$AB$6</f>
        <v>3.4758979600069928</v>
      </c>
      <c r="AG172" s="579">
        <f t="shared" ref="AG172:AG181" si="238">AE172/($AB$7/100)</f>
        <v>3.2303919914515493</v>
      </c>
      <c r="AJ172" s="162"/>
      <c r="AK172" s="140">
        <v>28601.63</v>
      </c>
      <c r="AL172" s="579">
        <f t="shared" ref="AL172:AL181" si="239">AK172/$AB$6</f>
        <v>3.8462178771700981</v>
      </c>
      <c r="AM172" s="579">
        <f t="shared" ref="AM172:AM181" si="240">AK172/($AB$7/100)</f>
        <v>3.5745558617500581</v>
      </c>
      <c r="AP172" s="162"/>
      <c r="AQ172" s="140">
        <f>$D172*AP172</f>
        <v>0</v>
      </c>
      <c r="AR172" s="579">
        <f t="shared" ref="AR172:AR181" si="241">AQ172/$AB$6</f>
        <v>0</v>
      </c>
      <c r="AS172" s="579">
        <f t="shared" ref="AS172:AS181" si="242">AQ172/($AB$7/100)</f>
        <v>0</v>
      </c>
    </row>
    <row r="173" spans="1:46" ht="15.75" hidden="1">
      <c r="B173" s="409"/>
      <c r="C173" s="44" t="s">
        <v>267</v>
      </c>
      <c r="D173" s="44">
        <v>48.796667603526515</v>
      </c>
      <c r="E173" s="64"/>
      <c r="F173" s="83">
        <v>370.57000000000005</v>
      </c>
      <c r="G173" s="74">
        <v>18082.581113838824</v>
      </c>
      <c r="H173" s="83"/>
      <c r="I173" s="57"/>
      <c r="J173" s="188">
        <f t="shared" si="232"/>
        <v>2.2995871602813223</v>
      </c>
      <c r="K173" s="57"/>
      <c r="L173" s="75">
        <v>2.4300316536985345</v>
      </c>
      <c r="M173" s="75">
        <v>2.3299826619952455</v>
      </c>
      <c r="N173" s="143"/>
      <c r="P173" s="162">
        <v>360.33</v>
      </c>
      <c r="Q173" s="140">
        <f t="shared" ref="Q173:Q177" si="243">$D173*P173</f>
        <v>17582.90323757871</v>
      </c>
      <c r="R173" s="579">
        <f t="shared" si="233"/>
        <v>2.3628823320214614</v>
      </c>
      <c r="S173" s="579">
        <f t="shared" si="234"/>
        <v>2.2655980046866899</v>
      </c>
      <c r="V173" s="162">
        <v>373.36</v>
      </c>
      <c r="W173" s="140">
        <f t="shared" ref="W173:W177" si="244">$D173*V173</f>
        <v>18218.723816452661</v>
      </c>
      <c r="X173" s="579">
        <f t="shared" si="235"/>
        <v>2.448327220835159</v>
      </c>
      <c r="Y173" s="579">
        <f t="shared" si="236"/>
        <v>2.3475249660861501</v>
      </c>
      <c r="AB173"/>
      <c r="AD173" s="162">
        <f>17100.42/D173</f>
        <v>350.44237321575127</v>
      </c>
      <c r="AE173" s="579">
        <f t="shared" ref="AE173:AE177" si="245">$D173*AD173</f>
        <v>17100.419999999998</v>
      </c>
      <c r="AF173" s="579">
        <f t="shared" si="237"/>
        <v>2.2995871602813223</v>
      </c>
      <c r="AG173" s="579">
        <f t="shared" si="238"/>
        <v>2.137165138818589</v>
      </c>
      <c r="AJ173" s="162"/>
      <c r="AK173" s="140">
        <v>14320.94</v>
      </c>
      <c r="AL173" s="579">
        <f t="shared" si="239"/>
        <v>1.9258152575877789</v>
      </c>
      <c r="AM173" s="579">
        <f t="shared" si="240"/>
        <v>1.7897931000006251</v>
      </c>
      <c r="AP173" s="162"/>
      <c r="AQ173" s="140">
        <f t="shared" ref="AQ173:AQ177" si="246">$D173*AP173</f>
        <v>0</v>
      </c>
      <c r="AR173" s="579">
        <f t="shared" si="241"/>
        <v>0</v>
      </c>
      <c r="AS173" s="579">
        <f t="shared" si="242"/>
        <v>0</v>
      </c>
    </row>
    <row r="174" spans="1:46" ht="15.75" hidden="1">
      <c r="A174" s="21"/>
      <c r="B174" s="38"/>
      <c r="C174" s="44" t="s">
        <v>268</v>
      </c>
      <c r="D174" s="44">
        <v>2.7486177428571432</v>
      </c>
      <c r="E174" s="64"/>
      <c r="F174" s="83">
        <v>524.13</v>
      </c>
      <c r="G174" s="74">
        <v>1440.6330175637145</v>
      </c>
      <c r="H174" s="83"/>
      <c r="I174" s="57"/>
      <c r="J174" s="188">
        <f t="shared" si="232"/>
        <v>0.18006490050297674</v>
      </c>
      <c r="K174" s="57"/>
      <c r="L174" s="75">
        <v>0.1935997860042154</v>
      </c>
      <c r="M174" s="75">
        <v>0.18562891724857028</v>
      </c>
      <c r="N174" s="143"/>
      <c r="P174" s="162">
        <v>523.14</v>
      </c>
      <c r="Q174" s="140">
        <f t="shared" si="243"/>
        <v>1437.9118859982859</v>
      </c>
      <c r="R174" s="579">
        <f t="shared" si="233"/>
        <v>0.19323410613825814</v>
      </c>
      <c r="S174" s="579">
        <f t="shared" si="234"/>
        <v>0.18527829311319147</v>
      </c>
      <c r="V174" s="162">
        <v>524.34</v>
      </c>
      <c r="W174" s="140">
        <f t="shared" si="244"/>
        <v>1441.2102272897146</v>
      </c>
      <c r="X174" s="579">
        <f t="shared" si="235"/>
        <v>0.19367735446063059</v>
      </c>
      <c r="Y174" s="579">
        <f t="shared" si="236"/>
        <v>0.18570329206516578</v>
      </c>
      <c r="AB174"/>
      <c r="AD174" s="162">
        <v>487.16</v>
      </c>
      <c r="AE174" s="579">
        <f t="shared" si="245"/>
        <v>1339.0166196102859</v>
      </c>
      <c r="AF174" s="579">
        <f t="shared" si="237"/>
        <v>0.18006490050297674</v>
      </c>
      <c r="AG174" s="579">
        <f t="shared" si="238"/>
        <v>0.16734674585359979</v>
      </c>
      <c r="AJ174" s="162"/>
      <c r="AK174" s="140">
        <v>1430.95</v>
      </c>
      <c r="AL174" s="579">
        <f t="shared" si="239"/>
        <v>0.19242768581149228</v>
      </c>
      <c r="AM174" s="579">
        <f t="shared" si="240"/>
        <v>0.17883633591411557</v>
      </c>
      <c r="AP174" s="162"/>
      <c r="AQ174" s="140">
        <f t="shared" si="246"/>
        <v>0</v>
      </c>
      <c r="AR174" s="579">
        <f t="shared" si="241"/>
        <v>0</v>
      </c>
      <c r="AS174" s="579">
        <f t="shared" si="242"/>
        <v>0</v>
      </c>
    </row>
    <row r="175" spans="1:46" ht="15.75" hidden="1">
      <c r="A175" s="21"/>
      <c r="B175" s="38"/>
      <c r="C175" s="44" t="s">
        <v>269</v>
      </c>
      <c r="D175" s="44">
        <v>14.749709609746079</v>
      </c>
      <c r="E175" s="64"/>
      <c r="F175" s="83">
        <v>313.76076968199203</v>
      </c>
      <c r="G175" s="74">
        <v>4627.880239739804</v>
      </c>
      <c r="H175" s="83"/>
      <c r="I175" s="57"/>
      <c r="J175" s="188">
        <f t="shared" si="232"/>
        <v>0.56976453343732758</v>
      </c>
      <c r="K175" s="57"/>
      <c r="L175" s="75">
        <v>0.62191870736236121</v>
      </c>
      <c r="M175" s="75">
        <v>0.59631313983886236</v>
      </c>
      <c r="N175" s="143"/>
      <c r="P175" s="162">
        <v>282.8</v>
      </c>
      <c r="Q175" s="140">
        <f t="shared" si="243"/>
        <v>4171.2178776361916</v>
      </c>
      <c r="R175" s="579">
        <f t="shared" si="233"/>
        <v>0.56055003504847067</v>
      </c>
      <c r="S175" s="579">
        <f t="shared" si="234"/>
        <v>0.53747113164386484</v>
      </c>
      <c r="V175" s="162">
        <v>320.11</v>
      </c>
      <c r="W175" s="140">
        <f t="shared" si="244"/>
        <v>4721.5295431758177</v>
      </c>
      <c r="X175" s="579">
        <f t="shared" si="235"/>
        <v>0.6345037896724397</v>
      </c>
      <c r="Y175" s="579">
        <f t="shared" si="236"/>
        <v>0.60838007054638465</v>
      </c>
      <c r="AB175"/>
      <c r="AD175" s="162">
        <f>4236.94/D175</f>
        <v>287.25582483335006</v>
      </c>
      <c r="AE175" s="579">
        <f t="shared" si="245"/>
        <v>4236.9399999999996</v>
      </c>
      <c r="AF175" s="579">
        <f t="shared" si="237"/>
        <v>0.56976453343732758</v>
      </c>
      <c r="AG175" s="579">
        <f t="shared" si="238"/>
        <v>0.52952152422373444</v>
      </c>
      <c r="AJ175" s="162"/>
      <c r="AK175" s="140">
        <v>4643.01</v>
      </c>
      <c r="AL175" s="579">
        <f t="shared" si="239"/>
        <v>0.62437099094980031</v>
      </c>
      <c r="AM175" s="579">
        <f t="shared" si="240"/>
        <v>0.58027107586749904</v>
      </c>
      <c r="AP175" s="162"/>
      <c r="AQ175" s="140">
        <f t="shared" si="246"/>
        <v>0</v>
      </c>
      <c r="AR175" s="579">
        <f t="shared" si="241"/>
        <v>0</v>
      </c>
      <c r="AS175" s="579">
        <f t="shared" si="242"/>
        <v>0</v>
      </c>
    </row>
    <row r="176" spans="1:46" ht="15.75" hidden="1">
      <c r="A176" s="21"/>
      <c r="B176" s="38"/>
      <c r="C176" s="44" t="s">
        <v>270</v>
      </c>
      <c r="D176" s="44">
        <v>1.8288907789004853</v>
      </c>
      <c r="E176" s="64"/>
      <c r="F176" s="83">
        <v>250.70000000000002</v>
      </c>
      <c r="G176" s="74">
        <v>458.5029182703517</v>
      </c>
      <c r="H176" s="83"/>
      <c r="I176" s="57"/>
      <c r="J176" s="188">
        <f t="shared" si="232"/>
        <v>6.1740381641407688E-2</v>
      </c>
      <c r="K176" s="57"/>
      <c r="L176" s="75">
        <v>6.1616015860557302E-2</v>
      </c>
      <c r="M176" s="75">
        <v>5.9079168140800234E-2</v>
      </c>
      <c r="N176" s="143"/>
      <c r="P176" s="162">
        <v>256.52999999999997</v>
      </c>
      <c r="Q176" s="140">
        <f t="shared" si="243"/>
        <v>469.16535151134144</v>
      </c>
      <c r="R176" s="579">
        <f t="shared" si="233"/>
        <v>6.3048889304781655E-2</v>
      </c>
      <c r="S176" s="579">
        <f t="shared" si="234"/>
        <v>6.0453047479694766E-2</v>
      </c>
      <c r="V176" s="162">
        <v>269.47000000000003</v>
      </c>
      <c r="W176" s="140">
        <f t="shared" si="244"/>
        <v>492.83119819031384</v>
      </c>
      <c r="X176" s="579">
        <f t="shared" si="235"/>
        <v>6.6229229333643308E-2</v>
      </c>
      <c r="Y176" s="579">
        <f t="shared" si="236"/>
        <v>6.3502446904273785E-2</v>
      </c>
      <c r="AB176"/>
      <c r="AD176" s="162">
        <f>459.12/D176</f>
        <v>251.0374076444408</v>
      </c>
      <c r="AE176" s="579">
        <f t="shared" si="245"/>
        <v>459.12</v>
      </c>
      <c r="AF176" s="579">
        <f t="shared" si="237"/>
        <v>6.1740381641407688E-2</v>
      </c>
      <c r="AG176" s="579">
        <f t="shared" si="238"/>
        <v>5.7379599947509519E-2</v>
      </c>
      <c r="AJ176" s="162"/>
      <c r="AK176" s="140">
        <v>520.84</v>
      </c>
      <c r="AL176" s="579">
        <f t="shared" si="239"/>
        <v>7.004020816804056E-2</v>
      </c>
      <c r="AM176" s="579">
        <f t="shared" si="240"/>
        <v>6.5093201857163399E-2</v>
      </c>
      <c r="AP176" s="162"/>
      <c r="AQ176" s="140">
        <f t="shared" si="246"/>
        <v>0</v>
      </c>
      <c r="AR176" s="579">
        <f t="shared" si="241"/>
        <v>0</v>
      </c>
      <c r="AS176" s="579">
        <f t="shared" si="242"/>
        <v>0</v>
      </c>
    </row>
    <row r="177" spans="1:46" ht="15.75" hidden="1">
      <c r="A177" s="21"/>
      <c r="B177" s="38"/>
      <c r="C177" s="44" t="s">
        <v>271</v>
      </c>
      <c r="D177" s="44">
        <v>0.29710575139146567</v>
      </c>
      <c r="E177" s="64"/>
      <c r="F177" s="83">
        <v>292.46000000000004</v>
      </c>
      <c r="G177" s="74">
        <v>86.891548051948064</v>
      </c>
      <c r="H177" s="83"/>
      <c r="I177" s="57"/>
      <c r="J177" s="188">
        <f t="shared" si="232"/>
        <v>1.1109053450559691E-2</v>
      </c>
      <c r="K177" s="57"/>
      <c r="L177" s="75">
        <v>1.1676939861395447E-2</v>
      </c>
      <c r="M177" s="75">
        <v>1.1196178198256431E-2</v>
      </c>
      <c r="N177" s="143"/>
      <c r="P177" s="162">
        <v>303.95</v>
      </c>
      <c r="Q177" s="140">
        <f t="shared" si="243"/>
        <v>90.305293135435988</v>
      </c>
      <c r="R177" s="579">
        <f t="shared" si="233"/>
        <v>1.2135696747832679E-2</v>
      </c>
      <c r="S177" s="579">
        <f t="shared" si="234"/>
        <v>1.1636047197428849E-2</v>
      </c>
      <c r="V177" s="162">
        <v>301.52</v>
      </c>
      <c r="W177" s="140">
        <f t="shared" si="244"/>
        <v>89.583326159554716</v>
      </c>
      <c r="X177" s="579">
        <f t="shared" si="235"/>
        <v>1.2038675056445168E-2</v>
      </c>
      <c r="Y177" s="579">
        <f t="shared" si="236"/>
        <v>1.1543020072277501E-2</v>
      </c>
      <c r="AB177"/>
      <c r="AD177" s="162">
        <v>278.05</v>
      </c>
      <c r="AE177" s="579">
        <f t="shared" si="245"/>
        <v>82.610254174397028</v>
      </c>
      <c r="AF177" s="579">
        <f t="shared" si="237"/>
        <v>1.1109053450559691E-2</v>
      </c>
      <c r="AG177" s="579">
        <f t="shared" si="238"/>
        <v>1.0324410472401506E-2</v>
      </c>
      <c r="AJ177" s="162"/>
      <c r="AK177" s="140">
        <v>91.43</v>
      </c>
      <c r="AL177" s="579">
        <f t="shared" si="239"/>
        <v>1.2295092989793312E-2</v>
      </c>
      <c r="AM177" s="579">
        <f t="shared" si="240"/>
        <v>1.1426678914446757E-2</v>
      </c>
      <c r="AP177" s="162"/>
      <c r="AQ177" s="140">
        <f t="shared" si="246"/>
        <v>0</v>
      </c>
      <c r="AR177" s="579">
        <f t="shared" si="241"/>
        <v>0</v>
      </c>
      <c r="AS177" s="579">
        <f t="shared" si="242"/>
        <v>0</v>
      </c>
    </row>
    <row r="178" spans="1:46" ht="15.75" hidden="1">
      <c r="A178" s="21"/>
      <c r="B178" s="38"/>
      <c r="C178" s="44" t="s">
        <v>272</v>
      </c>
      <c r="D178" s="44">
        <v>29.705006717105398</v>
      </c>
      <c r="E178" s="64"/>
      <c r="F178" s="83">
        <v>142.27066738599615</v>
      </c>
      <c r="G178" s="74">
        <v>4226.1511303480838</v>
      </c>
      <c r="H178" s="83"/>
      <c r="I178" s="57"/>
      <c r="J178" s="188">
        <f t="shared" si="232"/>
        <v>0.83763916654072301</v>
      </c>
      <c r="K178" s="57"/>
      <c r="L178" s="75">
        <v>0.56793225233759193</v>
      </c>
      <c r="M178" s="75">
        <v>0.54454940910768102</v>
      </c>
      <c r="N178" s="143"/>
      <c r="P178" s="156">
        <f>198.88/166.11</f>
        <v>1.1972789115646256</v>
      </c>
      <c r="Q178" s="140">
        <f t="shared" ref="Q178:Q180" si="247">G178*P178</f>
        <v>5059.8816254507665</v>
      </c>
      <c r="R178" s="579">
        <f t="shared" si="233"/>
        <v>0.67997330892119845</v>
      </c>
      <c r="S178" s="579">
        <f t="shared" si="234"/>
        <v>0.65197752382960439</v>
      </c>
      <c r="V178" s="156">
        <f>219.38/166.11</f>
        <v>1.3206911083017276</v>
      </c>
      <c r="W178" s="140">
        <f>G178*V178</f>
        <v>5581.4402201900102</v>
      </c>
      <c r="X178" s="579">
        <f t="shared" si="235"/>
        <v>0.75006307578003084</v>
      </c>
      <c r="Y178" s="579">
        <f t="shared" si="236"/>
        <v>0.71918156263947419</v>
      </c>
      <c r="AB178"/>
      <c r="AD178" s="156">
        <f>244.83/219.38</f>
        <v>1.1160087519372779</v>
      </c>
      <c r="AE178" s="579">
        <f t="shared" ref="AE178:AE181" si="248">W178*AD178</f>
        <v>6228.9361341467784</v>
      </c>
      <c r="AF178" s="579">
        <f t="shared" si="237"/>
        <v>0.83763916654072301</v>
      </c>
      <c r="AG178" s="579">
        <f t="shared" si="238"/>
        <v>0.77847591800820837</v>
      </c>
      <c r="AJ178" s="156">
        <f>229.16/244.83</f>
        <v>0.93599640566923981</v>
      </c>
      <c r="AK178" s="140">
        <f t="shared" ref="AK178:AK181" si="249">AE178*AJ178</f>
        <v>5830.2618327046339</v>
      </c>
      <c r="AL178" s="579">
        <f t="shared" si="239"/>
        <v>0.78402724912989441</v>
      </c>
      <c r="AM178" s="579">
        <f t="shared" si="240"/>
        <v>0.72865066115574473</v>
      </c>
      <c r="AP178" s="156"/>
      <c r="AQ178" s="140">
        <f t="shared" ref="AQ178:AQ181" si="250">AK178*AP178</f>
        <v>0</v>
      </c>
      <c r="AR178" s="579">
        <f t="shared" si="241"/>
        <v>0</v>
      </c>
      <c r="AS178" s="579">
        <f t="shared" si="242"/>
        <v>0</v>
      </c>
    </row>
    <row r="179" spans="1:46" ht="15.75" hidden="1">
      <c r="A179" s="21"/>
      <c r="B179" s="38"/>
      <c r="C179" s="44" t="s">
        <v>273</v>
      </c>
      <c r="D179" s="44">
        <v>18.037206874762667</v>
      </c>
      <c r="E179" s="64"/>
      <c r="F179" s="83">
        <v>102.70146579545307</v>
      </c>
      <c r="G179" s="74">
        <v>1852.4475848939492</v>
      </c>
      <c r="H179" s="83"/>
      <c r="I179" s="57"/>
      <c r="J179" s="188">
        <f t="shared" si="232"/>
        <v>0.38083110936148934</v>
      </c>
      <c r="K179" s="57"/>
      <c r="L179" s="75">
        <v>0.24894157751985094</v>
      </c>
      <c r="M179" s="75">
        <v>0.2386921827080675</v>
      </c>
      <c r="N179" s="143"/>
      <c r="P179" s="156">
        <f>163.74/151.35</f>
        <v>1.0818632309217047</v>
      </c>
      <c r="Q179" s="140">
        <f t="shared" si="247"/>
        <v>2004.0949293064766</v>
      </c>
      <c r="R179" s="579">
        <f t="shared" si="233"/>
        <v>0.26932073936637191</v>
      </c>
      <c r="S179" s="579">
        <f t="shared" si="234"/>
        <v>0.25823229598030373</v>
      </c>
      <c r="V179" s="156">
        <f>192.54/151.35</f>
        <v>1.2721506442021804</v>
      </c>
      <c r="W179" s="140">
        <f>G179*V179</f>
        <v>2356.5923884736108</v>
      </c>
      <c r="X179" s="579">
        <f t="shared" si="235"/>
        <v>0.31669118821058539</v>
      </c>
      <c r="Y179" s="579">
        <f t="shared" si="236"/>
        <v>0.30365241399809262</v>
      </c>
      <c r="AB179"/>
      <c r="AD179" s="156">
        <f>231.38/192.54</f>
        <v>1.2017243170250338</v>
      </c>
      <c r="AE179" s="579">
        <f t="shared" si="248"/>
        <v>2831.9743785448431</v>
      </c>
      <c r="AF179" s="579">
        <f t="shared" si="237"/>
        <v>0.38083110936148934</v>
      </c>
      <c r="AG179" s="579">
        <f t="shared" si="238"/>
        <v>0.35393264702583199</v>
      </c>
      <c r="AJ179" s="156">
        <f>213.46/231.38</f>
        <v>0.92255164664188782</v>
      </c>
      <c r="AK179" s="140">
        <f t="shared" si="249"/>
        <v>2612.6426261741822</v>
      </c>
      <c r="AL179" s="579">
        <f t="shared" si="239"/>
        <v>0.35133636703389887</v>
      </c>
      <c r="AM179" s="579">
        <f t="shared" si="240"/>
        <v>0.32652114631400336</v>
      </c>
      <c r="AP179" s="156"/>
      <c r="AQ179" s="140">
        <f t="shared" si="250"/>
        <v>0</v>
      </c>
      <c r="AR179" s="579">
        <f t="shared" si="241"/>
        <v>0</v>
      </c>
      <c r="AS179" s="579">
        <f t="shared" si="242"/>
        <v>0</v>
      </c>
    </row>
    <row r="180" spans="1:46" ht="15.75" hidden="1">
      <c r="A180" s="21"/>
      <c r="B180" s="38"/>
      <c r="C180" s="44" t="s">
        <v>274</v>
      </c>
      <c r="D180" s="44">
        <v>0</v>
      </c>
      <c r="E180" s="64"/>
      <c r="F180" s="83">
        <v>0</v>
      </c>
      <c r="G180" s="74">
        <v>0</v>
      </c>
      <c r="H180" s="83"/>
      <c r="I180" s="57"/>
      <c r="J180" s="188">
        <f t="shared" si="232"/>
        <v>0</v>
      </c>
      <c r="K180" s="57"/>
      <c r="L180" s="75">
        <v>0</v>
      </c>
      <c r="M180" s="75">
        <v>0</v>
      </c>
      <c r="N180" s="143"/>
      <c r="Q180" s="140">
        <f t="shared" si="247"/>
        <v>0</v>
      </c>
      <c r="R180" s="579">
        <f t="shared" si="233"/>
        <v>0</v>
      </c>
      <c r="S180" s="579">
        <f t="shared" si="234"/>
        <v>0</v>
      </c>
      <c r="W180" s="140">
        <f t="shared" ref="W180" si="251">Q180*V180</f>
        <v>0</v>
      </c>
      <c r="X180" s="579">
        <f t="shared" si="235"/>
        <v>0</v>
      </c>
      <c r="Y180" s="579">
        <f t="shared" si="236"/>
        <v>0</v>
      </c>
      <c r="AB180"/>
      <c r="AE180" s="579">
        <f t="shared" si="248"/>
        <v>0</v>
      </c>
      <c r="AF180" s="579">
        <f t="shared" si="237"/>
        <v>0</v>
      </c>
      <c r="AG180" s="579">
        <f t="shared" si="238"/>
        <v>0</v>
      </c>
      <c r="AK180" s="140">
        <f t="shared" si="249"/>
        <v>0</v>
      </c>
      <c r="AL180" s="579">
        <f t="shared" si="239"/>
        <v>0</v>
      </c>
      <c r="AM180" s="579">
        <f t="shared" si="240"/>
        <v>0</v>
      </c>
      <c r="AQ180" s="140">
        <f t="shared" si="250"/>
        <v>0</v>
      </c>
      <c r="AR180" s="579">
        <f t="shared" si="241"/>
        <v>0</v>
      </c>
      <c r="AS180" s="579">
        <f t="shared" si="242"/>
        <v>0</v>
      </c>
    </row>
    <row r="181" spans="1:46" ht="15.75" hidden="1">
      <c r="A181" s="21"/>
      <c r="B181" s="38"/>
      <c r="C181" s="44" t="s">
        <v>275</v>
      </c>
      <c r="D181" s="44"/>
      <c r="E181" s="64"/>
      <c r="F181" s="83"/>
      <c r="G181" s="74">
        <v>1549.7831125541124</v>
      </c>
      <c r="H181" s="83"/>
      <c r="I181" s="57"/>
      <c r="J181" s="188">
        <f t="shared" si="232"/>
        <v>0</v>
      </c>
      <c r="K181" s="57"/>
      <c r="L181" s="75">
        <v>0.20826794560825992</v>
      </c>
      <c r="M181" s="75">
        <v>0.1996931610244839</v>
      </c>
      <c r="N181" s="143"/>
      <c r="P181" s="156">
        <v>1</v>
      </c>
      <c r="Q181" s="140">
        <f>G181*P181</f>
        <v>1549.7831125541124</v>
      </c>
      <c r="R181" s="579">
        <f t="shared" si="233"/>
        <v>0.20826794560825992</v>
      </c>
      <c r="S181" s="579">
        <f t="shared" si="234"/>
        <v>0.19969316102448392</v>
      </c>
      <c r="V181" s="156">
        <v>1</v>
      </c>
      <c r="W181" s="140">
        <f>G181*V181</f>
        <v>1549.7831125541124</v>
      </c>
      <c r="X181" s="579">
        <f t="shared" si="235"/>
        <v>0.20826794560825992</v>
      </c>
      <c r="Y181" s="579">
        <f t="shared" si="236"/>
        <v>0.19969316102448392</v>
      </c>
      <c r="AB181" s="597" t="s">
        <v>377</v>
      </c>
      <c r="AD181" s="156"/>
      <c r="AE181" s="579">
        <f t="shared" si="248"/>
        <v>0</v>
      </c>
      <c r="AF181" s="579">
        <f t="shared" si="237"/>
        <v>0</v>
      </c>
      <c r="AG181" s="579">
        <f t="shared" si="238"/>
        <v>0</v>
      </c>
      <c r="AJ181" s="156">
        <v>1</v>
      </c>
      <c r="AK181" s="140">
        <f t="shared" si="249"/>
        <v>0</v>
      </c>
      <c r="AL181" s="579">
        <f t="shared" si="239"/>
        <v>0</v>
      </c>
      <c r="AM181" s="579">
        <f t="shared" si="240"/>
        <v>0</v>
      </c>
      <c r="AP181" s="156">
        <v>1</v>
      </c>
      <c r="AQ181" s="140">
        <f t="shared" si="250"/>
        <v>0</v>
      </c>
      <c r="AR181" s="579">
        <f t="shared" si="241"/>
        <v>0</v>
      </c>
      <c r="AS181" s="579">
        <f t="shared" si="242"/>
        <v>0</v>
      </c>
    </row>
    <row r="182" spans="1:46" ht="15.75" hidden="1">
      <c r="B182" s="38"/>
      <c r="C182" s="52"/>
      <c r="D182" s="52"/>
      <c r="E182" s="83"/>
      <c r="F182" s="90" t="s">
        <v>69</v>
      </c>
      <c r="G182" s="123">
        <v>60198.269440745731</v>
      </c>
      <c r="H182" s="121"/>
      <c r="J182" s="198">
        <f t="shared" si="232"/>
        <v>7.8166342652228007</v>
      </c>
      <c r="L182" s="124">
        <v>8.0897577241853256</v>
      </c>
      <c r="M182" s="124">
        <v>7.7566871231514822</v>
      </c>
      <c r="N182" s="150"/>
      <c r="P182" s="160"/>
      <c r="Q182" s="161">
        <f>SUM(Q172:Q181)</f>
        <v>59660.540613103956</v>
      </c>
      <c r="R182" s="594">
        <f>Q182/$E$6</f>
        <v>8.0174949170092145</v>
      </c>
      <c r="S182" s="594">
        <f t="shared" si="234"/>
        <v>7.6873995121974508</v>
      </c>
      <c r="T182" s="160"/>
      <c r="V182" s="160"/>
      <c r="W182" s="161">
        <f>SUM(W172:W181)</f>
        <v>61636.642606549663</v>
      </c>
      <c r="X182" s="594">
        <f t="shared" si="235"/>
        <v>8.2830538195120678</v>
      </c>
      <c r="Y182" s="594">
        <f t="shared" si="236"/>
        <v>7.9420248532412145</v>
      </c>
      <c r="Z182" s="160"/>
      <c r="AB182"/>
      <c r="AD182" s="160"/>
      <c r="AE182" s="594">
        <f>SUM(AE172:AE181)</f>
        <v>58126.837386476313</v>
      </c>
      <c r="AF182" s="594">
        <f>AE182/$AB$6</f>
        <v>7.8166342652228007</v>
      </c>
      <c r="AG182" s="594">
        <f>AE182/($AB$7/100)</f>
        <v>7.2645379758014252</v>
      </c>
      <c r="AH182" s="160"/>
      <c r="AJ182" s="160"/>
      <c r="AK182" s="161">
        <f>SUM(AK172:AK181)</f>
        <v>58051.704458878812</v>
      </c>
      <c r="AL182" s="594">
        <f>AK182/$AB$6</f>
        <v>7.8065307288407961</v>
      </c>
      <c r="AM182" s="594">
        <f>AK182/($AB$7/100)</f>
        <v>7.2551480617736548</v>
      </c>
      <c r="AN182" s="160"/>
      <c r="AP182" s="160"/>
      <c r="AQ182" s="161">
        <f>SUM(AQ172:AQ181)</f>
        <v>0</v>
      </c>
      <c r="AR182" s="594">
        <f>AQ182/$AB$6</f>
        <v>0</v>
      </c>
      <c r="AS182" s="594">
        <f>AQ182/($AB$7/100)</f>
        <v>0</v>
      </c>
      <c r="AT182" s="160"/>
    </row>
    <row r="183" spans="1:46" ht="15.75" hidden="1">
      <c r="B183" s="47"/>
      <c r="C183" s="49"/>
      <c r="D183" s="49"/>
      <c r="E183" s="49"/>
      <c r="F183" s="48"/>
      <c r="G183" s="125"/>
      <c r="H183" s="121"/>
      <c r="J183" s="199">
        <f t="shared" ref="J183" si="252">IF($D$2=$L$2,L183,IF($D$2=$M$2,M183,IF($D$2=$N$2,N183,IF($D$2=$R$2,R183,IF($D$2=$S$2,S183,IF($D$2=$T$2,T183,IF($D$2=$X$2,X183,IF($D$2=$Y$2,Y183,IF($D$2=$Z$2,Z183,IF($D$2=$AF$2,AF183,IF($D$2=$AG$2,AG183,IF($D$2=$AH$2,AH183,IF($D$2=$AL$2,AL183,IF($D$2=$AM$2,AM183,IF($D$2=$AN$2,AN183,IF($D$2=$AR$2,AR183,IF($D$2=$AS$2,AS183,IF($D$2=$AT$2,AT183))))))))))))))))))</f>
        <v>0</v>
      </c>
      <c r="L183" s="126"/>
      <c r="M183" s="126">
        <v>0</v>
      </c>
      <c r="N183" s="151"/>
      <c r="AB183"/>
    </row>
    <row r="184" spans="1:46" ht="15" hidden="1">
      <c r="B184" s="50"/>
      <c r="C184" s="51" t="s">
        <v>276</v>
      </c>
      <c r="D184" s="51"/>
      <c r="E184" s="127"/>
      <c r="F184" s="127"/>
      <c r="G184" s="128" t="s">
        <v>67</v>
      </c>
      <c r="H184" s="121"/>
      <c r="J184" s="197">
        <f t="shared" ref="J184:J191" si="253">IF($D$2=$L$2,L184,IF($D$2=$M$2,M184,IF($D$2=$N$2,N184,IF($D$2=$R$2,R184,IF($D$2=$S$2,S184,IF($D$2=$T$2,T184,IF($D$2=$X$2,X184,IF($D$2=$Y$2,Y184,IF($D$2=$Z$2,Z184,IF($D$2=$AF$2,AF184,IF($D$2=$AG$2,AG184,IF($D$2=$AH$2,AH184,IF($D$2=$AL$2,AL184,IF($D$2=$AM$2,AM184,IF($D$2=$AN$2,AN184,IF($D$2=$AR$2,AR184,IF($D$2=$AS$2,AS184,IF($D$2=$AT$2,AT184))))))))))))))))))</f>
        <v>0</v>
      </c>
      <c r="L184" s="122"/>
      <c r="M184" s="122"/>
      <c r="N184" s="149"/>
      <c r="AB184"/>
    </row>
    <row r="185" spans="1:46" ht="15.75" hidden="1">
      <c r="B185" s="24"/>
      <c r="C185" s="44" t="s">
        <v>277</v>
      </c>
      <c r="D185" s="44">
        <v>0</v>
      </c>
      <c r="E185" s="64"/>
      <c r="F185" s="83">
        <v>23.650000000000002</v>
      </c>
      <c r="G185" s="74">
        <v>0</v>
      </c>
      <c r="H185" s="83"/>
      <c r="J185" s="188">
        <f t="shared" si="253"/>
        <v>0</v>
      </c>
      <c r="L185" s="75">
        <v>0</v>
      </c>
      <c r="M185" s="75">
        <v>0</v>
      </c>
      <c r="N185" s="143"/>
      <c r="P185" s="162">
        <v>51.72</v>
      </c>
      <c r="Q185" s="140">
        <f t="shared" ref="Q185:Q189" si="254">$D185*P185</f>
        <v>0</v>
      </c>
      <c r="R185" s="579">
        <f t="shared" ref="R185:R189" si="255">Q185/$E$6</f>
        <v>0</v>
      </c>
      <c r="S185" s="579">
        <f>Q185/($E$7/100)</f>
        <v>0</v>
      </c>
      <c r="W185" s="140">
        <f>$D185*V185</f>
        <v>0</v>
      </c>
      <c r="X185" s="579">
        <f>W185/$E$6</f>
        <v>0</v>
      </c>
      <c r="Y185" s="579">
        <f>W185/($E$7/100)</f>
        <v>0</v>
      </c>
      <c r="AB185"/>
      <c r="AE185" s="579">
        <f>$D185*AD185</f>
        <v>0</v>
      </c>
      <c r="AF185" s="579">
        <f t="shared" ref="AF185:AF189" si="256">AE185/$AB$6</f>
        <v>0</v>
      </c>
      <c r="AG185" s="579">
        <f t="shared" ref="AG185:AG189" si="257">AE185/($AB$7/100)</f>
        <v>0</v>
      </c>
      <c r="AJ185" s="162"/>
      <c r="AK185" s="140">
        <f>$D185*AJ185</f>
        <v>0</v>
      </c>
      <c r="AL185" s="579">
        <f t="shared" ref="AL185:AL189" si="258">AK185/$AB$6</f>
        <v>0</v>
      </c>
      <c r="AM185" s="579">
        <f t="shared" ref="AM185:AM189" si="259">AK185/($AB$7/100)</f>
        <v>0</v>
      </c>
      <c r="AP185" s="162"/>
      <c r="AQ185" s="140">
        <f>$D185*AP185</f>
        <v>0</v>
      </c>
      <c r="AR185" s="579">
        <f t="shared" ref="AR185:AR189" si="260">AQ185/$AB$6</f>
        <v>0</v>
      </c>
      <c r="AS185" s="579">
        <f t="shared" ref="AS185:AS189" si="261">AQ185/($AB$7/100)</f>
        <v>0</v>
      </c>
    </row>
    <row r="186" spans="1:46" ht="15.75" hidden="1">
      <c r="B186" s="409"/>
      <c r="C186" s="44" t="s">
        <v>278</v>
      </c>
      <c r="D186" s="44">
        <v>-1.0546890025497913E-6</v>
      </c>
      <c r="E186" s="64"/>
      <c r="F186" s="83">
        <v>277.43999999834102</v>
      </c>
      <c r="G186" s="74">
        <v>-2.9261291686566437E-4</v>
      </c>
      <c r="H186" s="83"/>
      <c r="I186" s="57"/>
      <c r="J186" s="188">
        <f t="shared" si="253"/>
        <v>-5.4930684707116995E-9</v>
      </c>
      <c r="K186" s="57"/>
      <c r="L186" s="75">
        <v>-3.9322851410877415E-8</v>
      </c>
      <c r="M186" s="75">
        <v>-3.7703855366702991E-8</v>
      </c>
      <c r="N186" s="143"/>
      <c r="P186" s="162">
        <v>203.73</v>
      </c>
      <c r="Q186" s="140">
        <f t="shared" si="254"/>
        <v>-2.1487179048946896E-4</v>
      </c>
      <c r="R186" s="579">
        <f t="shared" si="255"/>
        <v>-2.8875592985820211E-8</v>
      </c>
      <c r="S186" s="579">
        <f>Q186/($E$7/100)</f>
        <v>-2.7686730298098084E-8</v>
      </c>
      <c r="V186" s="162">
        <v>125.75</v>
      </c>
      <c r="W186" s="140">
        <f t="shared" ref="W186:W189" si="262">$D186*V186</f>
        <v>-1.3262714207063625E-4</v>
      </c>
      <c r="X186" s="579">
        <f>W186/$E$6</f>
        <v>-1.7823127757163361E-8</v>
      </c>
      <c r="Y186" s="579">
        <f>W186/($E$7/100)</f>
        <v>-1.7089315932782771E-8</v>
      </c>
      <c r="AB186"/>
      <c r="AD186" s="162">
        <v>38.729999999999997</v>
      </c>
      <c r="AE186" s="579">
        <f t="shared" ref="AE186:AE189" si="263">$D186*AD186</f>
        <v>-4.0848105068753413E-5</v>
      </c>
      <c r="AF186" s="579">
        <f t="shared" si="256"/>
        <v>-5.4930684707116995E-9</v>
      </c>
      <c r="AG186" s="579">
        <f t="shared" si="257"/>
        <v>-5.1050878364238253E-9</v>
      </c>
      <c r="AJ186" s="162"/>
      <c r="AK186" s="140">
        <f t="shared" ref="AK186:AK189" si="264">$D186*AJ186</f>
        <v>0</v>
      </c>
      <c r="AL186" s="579">
        <f t="shared" si="258"/>
        <v>0</v>
      </c>
      <c r="AM186" s="579">
        <f t="shared" si="259"/>
        <v>0</v>
      </c>
      <c r="AP186" s="162"/>
      <c r="AQ186" s="140">
        <f t="shared" ref="AQ186:AQ189" si="265">$D186*AP186</f>
        <v>0</v>
      </c>
      <c r="AR186" s="579">
        <f t="shared" si="260"/>
        <v>0</v>
      </c>
      <c r="AS186" s="579">
        <f t="shared" si="261"/>
        <v>0</v>
      </c>
    </row>
    <row r="187" spans="1:46" ht="15.75" hidden="1">
      <c r="A187" s="21"/>
      <c r="B187" s="38"/>
      <c r="C187" s="44" t="s">
        <v>279</v>
      </c>
      <c r="D187" s="44">
        <v>1.2410401509359579</v>
      </c>
      <c r="E187" s="64"/>
      <c r="F187" s="83">
        <v>176.11000000000004</v>
      </c>
      <c r="G187" s="74">
        <v>218.55958098133158</v>
      </c>
      <c r="H187" s="83"/>
      <c r="I187" s="57"/>
      <c r="J187" s="188">
        <f t="shared" si="253"/>
        <v>0</v>
      </c>
      <c r="K187" s="57"/>
      <c r="L187" s="75">
        <v>2.9371177524942026E-2</v>
      </c>
      <c r="M187" s="75">
        <v>2.8161910685954045E-2</v>
      </c>
      <c r="N187" s="143"/>
      <c r="P187" s="162">
        <v>163.30000000000001</v>
      </c>
      <c r="Q187" s="140">
        <f t="shared" si="254"/>
        <v>202.66185664784194</v>
      </c>
      <c r="R187" s="579">
        <f t="shared" si="255"/>
        <v>2.7234758331855274E-2</v>
      </c>
      <c r="S187" s="579">
        <f>Q187/($E$7/100)</f>
        <v>2.6113451905151866E-2</v>
      </c>
      <c r="V187" s="162">
        <v>58.24</v>
      </c>
      <c r="W187" s="140">
        <f t="shared" si="262"/>
        <v>72.278178390510192</v>
      </c>
      <c r="X187" s="579">
        <f>W187/$E$6</f>
        <v>9.7131189543616121E-3</v>
      </c>
      <c r="Y187" s="579">
        <f>W187/($E$7/100)</f>
        <v>9.3132115061607141E-3</v>
      </c>
      <c r="AB187"/>
      <c r="AD187" s="162">
        <v>0</v>
      </c>
      <c r="AE187" s="579">
        <f t="shared" si="263"/>
        <v>0</v>
      </c>
      <c r="AF187" s="579">
        <f t="shared" si="256"/>
        <v>0</v>
      </c>
      <c r="AG187" s="579">
        <f t="shared" si="257"/>
        <v>0</v>
      </c>
      <c r="AJ187" s="162"/>
      <c r="AK187" s="140">
        <f t="shared" si="264"/>
        <v>0</v>
      </c>
      <c r="AL187" s="579">
        <f t="shared" si="258"/>
        <v>0</v>
      </c>
      <c r="AM187" s="579">
        <f t="shared" si="259"/>
        <v>0</v>
      </c>
      <c r="AP187" s="162"/>
      <c r="AQ187" s="140">
        <f t="shared" si="265"/>
        <v>0</v>
      </c>
      <c r="AR187" s="579">
        <f t="shared" si="260"/>
        <v>0</v>
      </c>
      <c r="AS187" s="579">
        <f t="shared" si="261"/>
        <v>0</v>
      </c>
    </row>
    <row r="188" spans="1:46" ht="15.75" hidden="1">
      <c r="A188" s="21"/>
      <c r="B188" s="38"/>
      <c r="C188" s="44" t="s">
        <v>280</v>
      </c>
      <c r="D188" s="44">
        <v>3.7402790946406896</v>
      </c>
      <c r="E188" s="64"/>
      <c r="F188" s="83">
        <v>184.12</v>
      </c>
      <c r="G188" s="74">
        <v>688.66018690524379</v>
      </c>
      <c r="H188" s="83"/>
      <c r="I188" s="57"/>
      <c r="J188" s="188">
        <f t="shared" si="253"/>
        <v>0</v>
      </c>
      <c r="K188" s="57"/>
      <c r="L188" s="75">
        <v>9.2545751200361945E-2</v>
      </c>
      <c r="M188" s="75">
        <v>8.8735467873423707E-2</v>
      </c>
      <c r="N188" s="143"/>
      <c r="P188" s="162">
        <v>80.83</v>
      </c>
      <c r="Q188" s="140">
        <f t="shared" si="254"/>
        <v>302.32675921980695</v>
      </c>
      <c r="R188" s="579">
        <f t="shared" si="255"/>
        <v>4.0628248259424592E-2</v>
      </c>
      <c r="S188" s="579">
        <f>Q188/($E$7/100)</f>
        <v>3.8955506562072764E-2</v>
      </c>
      <c r="V188" s="157">
        <f>V187</f>
        <v>58.24</v>
      </c>
      <c r="W188" s="140">
        <f t="shared" si="262"/>
        <v>217.83385447187376</v>
      </c>
      <c r="X188" s="579">
        <f>W188/$E$6</f>
        <v>2.9273650607805124E-2</v>
      </c>
      <c r="Y188" s="579">
        <f>W188/($E$7/100)</f>
        <v>2.8068399136151403E-2</v>
      </c>
      <c r="AB188"/>
      <c r="AD188" s="162">
        <v>0</v>
      </c>
      <c r="AE188" s="579">
        <f t="shared" si="263"/>
        <v>0</v>
      </c>
      <c r="AF188" s="579">
        <f t="shared" si="256"/>
        <v>0</v>
      </c>
      <c r="AG188" s="579">
        <f t="shared" si="257"/>
        <v>0</v>
      </c>
      <c r="AJ188" s="162"/>
      <c r="AK188" s="140">
        <f t="shared" si="264"/>
        <v>0</v>
      </c>
      <c r="AL188" s="579">
        <f t="shared" si="258"/>
        <v>0</v>
      </c>
      <c r="AM188" s="579">
        <f t="shared" si="259"/>
        <v>0</v>
      </c>
      <c r="AP188" s="162"/>
      <c r="AQ188" s="140">
        <f t="shared" si="265"/>
        <v>0</v>
      </c>
      <c r="AR188" s="579">
        <f t="shared" si="260"/>
        <v>0</v>
      </c>
      <c r="AS188" s="579">
        <f t="shared" si="261"/>
        <v>0</v>
      </c>
    </row>
    <row r="189" spans="1:46" ht="15.75" hidden="1">
      <c r="A189" s="21"/>
      <c r="B189" s="38"/>
      <c r="C189" s="44" t="s">
        <v>281</v>
      </c>
      <c r="D189" s="44">
        <v>1.6683051718931567</v>
      </c>
      <c r="E189" s="64"/>
      <c r="F189" s="83">
        <v>173.05</v>
      </c>
      <c r="G189" s="74">
        <v>288.7002099961108</v>
      </c>
      <c r="H189" s="83"/>
      <c r="I189" s="57"/>
      <c r="J189" s="188">
        <f t="shared" si="253"/>
        <v>0</v>
      </c>
      <c r="K189" s="57"/>
      <c r="L189" s="75">
        <v>3.8797041434701925E-2</v>
      </c>
      <c r="M189" s="75">
        <v>3.7199693980110207E-2</v>
      </c>
      <c r="N189" s="143"/>
      <c r="P189" s="162">
        <v>83.65</v>
      </c>
      <c r="Q189" s="140">
        <f t="shared" si="254"/>
        <v>139.55372762886256</v>
      </c>
      <c r="R189" s="579">
        <f t="shared" si="255"/>
        <v>1.8753958486060769E-2</v>
      </c>
      <c r="S189" s="579">
        <f>Q189/($E$7/100)</f>
        <v>1.7981822602925274E-2</v>
      </c>
      <c r="V189" s="162">
        <v>76.760000000000005</v>
      </c>
      <c r="W189" s="140">
        <f t="shared" si="262"/>
        <v>128.05910499451872</v>
      </c>
      <c r="X189" s="579">
        <f>W189/$E$6</f>
        <v>1.72092510865514E-2</v>
      </c>
      <c r="Y189" s="579">
        <f>W189/($E$7/100)</f>
        <v>1.6500713723855875E-2</v>
      </c>
      <c r="AB189"/>
      <c r="AD189" s="162">
        <v>0</v>
      </c>
      <c r="AE189" s="579">
        <f t="shared" si="263"/>
        <v>0</v>
      </c>
      <c r="AF189" s="579">
        <f t="shared" si="256"/>
        <v>0</v>
      </c>
      <c r="AG189" s="579">
        <f t="shared" si="257"/>
        <v>0</v>
      </c>
      <c r="AJ189" s="162"/>
      <c r="AK189" s="140">
        <f t="shared" si="264"/>
        <v>0</v>
      </c>
      <c r="AL189" s="579">
        <f t="shared" si="258"/>
        <v>0</v>
      </c>
      <c r="AM189" s="579">
        <f t="shared" si="259"/>
        <v>0</v>
      </c>
      <c r="AP189" s="162"/>
      <c r="AQ189" s="140">
        <f t="shared" si="265"/>
        <v>0</v>
      </c>
      <c r="AR189" s="579">
        <f t="shared" si="260"/>
        <v>0</v>
      </c>
      <c r="AS189" s="579">
        <f t="shared" si="261"/>
        <v>0</v>
      </c>
    </row>
    <row r="190" spans="1:46" ht="15.75" hidden="1">
      <c r="A190" s="21"/>
      <c r="B190" s="38"/>
      <c r="C190" s="44" t="s">
        <v>244</v>
      </c>
      <c r="D190" s="44"/>
      <c r="E190" s="64"/>
      <c r="F190" s="83"/>
      <c r="G190" s="74">
        <v>0</v>
      </c>
      <c r="H190" s="83"/>
      <c r="I190" s="57"/>
      <c r="J190" s="188">
        <f t="shared" si="253"/>
        <v>0</v>
      </c>
      <c r="K190" s="57"/>
      <c r="L190" s="75">
        <v>0</v>
      </c>
      <c r="M190" s="75">
        <v>0</v>
      </c>
      <c r="N190" s="143"/>
      <c r="AB190"/>
    </row>
    <row r="191" spans="1:46" ht="15.75" hidden="1">
      <c r="B191" s="38"/>
      <c r="C191" s="52"/>
      <c r="D191" s="52"/>
      <c r="E191" s="83"/>
      <c r="F191" s="90" t="s">
        <v>69</v>
      </c>
      <c r="G191" s="123">
        <v>1195.9196852697694</v>
      </c>
      <c r="H191" s="121"/>
      <c r="J191" s="198">
        <f t="shared" si="253"/>
        <v>-5.4930684707116995E-9</v>
      </c>
      <c r="L191" s="124">
        <v>0.16071393083715449</v>
      </c>
      <c r="M191" s="124">
        <v>0.15409703483563258</v>
      </c>
      <c r="N191" s="150"/>
      <c r="P191" s="160"/>
      <c r="Q191" s="161">
        <f>SUM(Q185:Q190)</f>
        <v>644.54212862472093</v>
      </c>
      <c r="R191" s="594">
        <f>Q191/$E$6</f>
        <v>8.6616936201747638E-2</v>
      </c>
      <c r="S191" s="594">
        <f>Q191/($E$7/100)</f>
        <v>8.3050753383419607E-2</v>
      </c>
      <c r="T191" s="160"/>
      <c r="V191" s="160"/>
      <c r="W191" s="161">
        <f>SUM(W185:W189)</f>
        <v>418.17100522976057</v>
      </c>
      <c r="X191" s="594">
        <f>W191/$E$6</f>
        <v>5.6196002825590376E-2</v>
      </c>
      <c r="Y191" s="594">
        <f>W191/($E$7/100)</f>
        <v>5.3882307276852053E-2</v>
      </c>
      <c r="Z191" s="160"/>
      <c r="AB191"/>
      <c r="AD191" s="160"/>
      <c r="AE191" s="594">
        <f>SUM(AE185:AE189)</f>
        <v>-4.0848105068753413E-5</v>
      </c>
      <c r="AF191" s="594">
        <f>AE191/$AB$6</f>
        <v>-5.4930684707116995E-9</v>
      </c>
      <c r="AG191" s="594">
        <f>AE191/($AB$7/100)</f>
        <v>-5.1050878364238253E-9</v>
      </c>
      <c r="AH191" s="160"/>
      <c r="AJ191" s="160"/>
      <c r="AK191" s="161">
        <f>SUM(AK185:AK189)</f>
        <v>0</v>
      </c>
      <c r="AL191" s="594">
        <f>AK191/$AB$6</f>
        <v>0</v>
      </c>
      <c r="AM191" s="594">
        <f>AK191/($AB$7/100)</f>
        <v>0</v>
      </c>
      <c r="AN191" s="160"/>
      <c r="AP191" s="160"/>
      <c r="AQ191" s="161">
        <f>SUM(AQ185:AQ189)</f>
        <v>0</v>
      </c>
      <c r="AR191" s="594">
        <f>AQ191/$AB$6</f>
        <v>0</v>
      </c>
      <c r="AS191" s="594">
        <f>AQ191/($AB$7/100)</f>
        <v>0</v>
      </c>
      <c r="AT191" s="160"/>
    </row>
    <row r="192" spans="1:46" ht="15.75" hidden="1">
      <c r="B192" s="38"/>
      <c r="C192" s="52"/>
      <c r="D192" s="52"/>
      <c r="E192" s="83"/>
      <c r="F192" s="90"/>
      <c r="G192" s="123"/>
      <c r="H192" s="121"/>
      <c r="J192" s="198"/>
      <c r="L192" s="124"/>
      <c r="M192" s="124"/>
      <c r="N192" s="150"/>
      <c r="AB192"/>
    </row>
    <row r="193" spans="1:46" ht="15.75" hidden="1">
      <c r="B193" s="53"/>
      <c r="C193" s="51" t="s">
        <v>15</v>
      </c>
      <c r="D193" s="51"/>
      <c r="E193" s="129"/>
      <c r="F193" s="130"/>
      <c r="G193" s="131"/>
      <c r="H193" s="83"/>
      <c r="J193" s="200">
        <f t="shared" si="213"/>
        <v>0</v>
      </c>
      <c r="L193" s="132"/>
      <c r="M193" s="132"/>
      <c r="N193" s="152"/>
      <c r="AB193"/>
    </row>
    <row r="194" spans="1:46" ht="15.75" hidden="1">
      <c r="B194" s="54"/>
      <c r="C194" s="25" t="s">
        <v>282</v>
      </c>
      <c r="D194" s="25"/>
      <c r="E194" s="64"/>
      <c r="F194" s="83"/>
      <c r="G194" s="74">
        <v>928.20747554112552</v>
      </c>
      <c r="H194" s="83"/>
      <c r="J194" s="188">
        <f t="shared" si="213"/>
        <v>0.12482114432461379</v>
      </c>
      <c r="L194" s="75">
        <v>0.1247373664503197</v>
      </c>
      <c r="M194" s="75">
        <v>0.11960169353754765</v>
      </c>
      <c r="N194" s="220">
        <f>G194/$N$6</f>
        <v>5.6157394395725112E-4</v>
      </c>
      <c r="Q194" s="140">
        <f>$G194</f>
        <v>928.20747554112552</v>
      </c>
      <c r="R194" s="579">
        <f>Q194/$E$6</f>
        <v>0.1247373664503197</v>
      </c>
      <c r="S194" s="579">
        <f t="shared" ref="S194:S202" si="266">Q194/($E$7/100)</f>
        <v>0.11960169353754765</v>
      </c>
      <c r="W194" s="140">
        <f>$G194</f>
        <v>928.20747554112552</v>
      </c>
      <c r="X194" s="579">
        <f t="shared" ref="X194:X202" si="267">W194/$E$6</f>
        <v>0.1247373664503197</v>
      </c>
      <c r="Y194" s="579">
        <f t="shared" ref="Y194:Y202" si="268">W194/($E$7/100)</f>
        <v>0.11960169353754765</v>
      </c>
      <c r="AB194"/>
      <c r="AE194" s="579">
        <f>$G194</f>
        <v>928.20747554112552</v>
      </c>
      <c r="AF194" s="579">
        <f t="shared" ref="AF194:AF200" si="269">AE194/$AB$6</f>
        <v>0.12482114432461379</v>
      </c>
      <c r="AG194" s="579">
        <f t="shared" ref="AG194:AG200" si="270">AE194/($AB$7/100)</f>
        <v>0.11600490855296547</v>
      </c>
      <c r="AK194" s="140">
        <f>$G194</f>
        <v>928.20747554112552</v>
      </c>
      <c r="AL194" s="579">
        <f t="shared" ref="AL194:AL200" si="271">AK194/$AB$6</f>
        <v>0.12482114432461379</v>
      </c>
      <c r="AM194" s="579">
        <f t="shared" ref="AM194:AM200" si="272">AK194/($AB$7/100)</f>
        <v>0.11600490855296547</v>
      </c>
      <c r="AQ194" s="140">
        <f>$G194</f>
        <v>928.20747554112552</v>
      </c>
      <c r="AR194" s="579">
        <f t="shared" ref="AR194:AR200" si="273">AQ194/$AB$6</f>
        <v>0.12482114432461379</v>
      </c>
      <c r="AS194" s="579">
        <f t="shared" ref="AS194:AS200" si="274">AQ194/($AB$7/100)</f>
        <v>0.11600490855296547</v>
      </c>
    </row>
    <row r="195" spans="1:46" ht="15.75" hidden="1">
      <c r="B195" s="38"/>
      <c r="C195" s="25" t="s">
        <v>283</v>
      </c>
      <c r="D195" s="25"/>
      <c r="E195" s="88"/>
      <c r="F195" s="88"/>
      <c r="G195" s="74">
        <v>6518.4308065531732</v>
      </c>
      <c r="H195" s="83"/>
      <c r="I195" s="57"/>
      <c r="J195" s="188">
        <f t="shared" si="213"/>
        <v>0.8765691011058151</v>
      </c>
      <c r="K195" s="57"/>
      <c r="L195" s="75">
        <v>0.87598076251654899</v>
      </c>
      <c r="M195" s="75">
        <v>0.83991498044829127</v>
      </c>
      <c r="N195" s="220">
        <f t="shared" ref="N195:N201" si="275">G195/$N$6</f>
        <v>3.9437097770780921E-3</v>
      </c>
      <c r="Q195" s="140">
        <f>$G195</f>
        <v>6518.4308065531732</v>
      </c>
      <c r="R195" s="579">
        <f>Q195/$E$6</f>
        <v>0.87598076251654899</v>
      </c>
      <c r="S195" s="579">
        <f t="shared" si="266"/>
        <v>0.83991498044829127</v>
      </c>
      <c r="W195" s="140">
        <f>$G195</f>
        <v>6518.4308065531732</v>
      </c>
      <c r="X195" s="579">
        <f t="shared" si="267"/>
        <v>0.87598076251654899</v>
      </c>
      <c r="Y195" s="579">
        <f t="shared" si="268"/>
        <v>0.83991498044829127</v>
      </c>
      <c r="AB195"/>
      <c r="AE195" s="579">
        <f>$G195</f>
        <v>6518.4308065531732</v>
      </c>
      <c r="AF195" s="579">
        <f t="shared" si="269"/>
        <v>0.8765691011058151</v>
      </c>
      <c r="AG195" s="579">
        <f t="shared" si="270"/>
        <v>0.81465619438391457</v>
      </c>
      <c r="AK195" s="140">
        <f>$G195</f>
        <v>6518.4308065531732</v>
      </c>
      <c r="AL195" s="579">
        <f t="shared" si="271"/>
        <v>0.8765691011058151</v>
      </c>
      <c r="AM195" s="579">
        <f t="shared" si="272"/>
        <v>0.81465619438391457</v>
      </c>
      <c r="AQ195" s="140">
        <f>$G195</f>
        <v>6518.4308065531732</v>
      </c>
      <c r="AR195" s="579">
        <f t="shared" si="273"/>
        <v>0.8765691011058151</v>
      </c>
      <c r="AS195" s="579">
        <f t="shared" si="274"/>
        <v>0.81465619438391457</v>
      </c>
    </row>
    <row r="196" spans="1:46" ht="15.75" hidden="1">
      <c r="B196" s="54"/>
      <c r="C196" s="25" t="s">
        <v>284</v>
      </c>
      <c r="D196" s="25"/>
      <c r="E196" s="109"/>
      <c r="F196" s="110"/>
      <c r="G196" s="74">
        <v>0</v>
      </c>
      <c r="H196" s="83"/>
      <c r="I196" s="57"/>
      <c r="J196" s="188">
        <f t="shared" si="213"/>
        <v>0</v>
      </c>
      <c r="K196" s="57"/>
      <c r="L196" s="75">
        <v>0</v>
      </c>
      <c r="M196" s="75">
        <v>0</v>
      </c>
      <c r="N196" s="220">
        <f t="shared" si="275"/>
        <v>0</v>
      </c>
      <c r="Q196" s="140">
        <f>SUM(G196:G196)*P196</f>
        <v>0</v>
      </c>
      <c r="R196" s="579">
        <f>Q196/$E$6</f>
        <v>0</v>
      </c>
      <c r="S196" s="579">
        <f t="shared" si="266"/>
        <v>0</v>
      </c>
      <c r="W196" s="140">
        <f>Q196*V196</f>
        <v>0</v>
      </c>
      <c r="X196" s="579">
        <f t="shared" si="267"/>
        <v>0</v>
      </c>
      <c r="Y196" s="579">
        <f t="shared" si="268"/>
        <v>0</v>
      </c>
      <c r="AB196"/>
      <c r="AE196" s="579">
        <f>W196*AD196</f>
        <v>0</v>
      </c>
      <c r="AF196" s="579">
        <f t="shared" si="269"/>
        <v>0</v>
      </c>
      <c r="AG196" s="579">
        <f t="shared" si="270"/>
        <v>0</v>
      </c>
      <c r="AK196" s="140">
        <f>AE196*AJ196</f>
        <v>0</v>
      </c>
      <c r="AL196" s="579">
        <f t="shared" si="271"/>
        <v>0</v>
      </c>
      <c r="AM196" s="579">
        <f t="shared" si="272"/>
        <v>0</v>
      </c>
      <c r="AQ196" s="140">
        <f>AK196*AP196</f>
        <v>0</v>
      </c>
      <c r="AR196" s="579">
        <f t="shared" si="273"/>
        <v>0</v>
      </c>
      <c r="AS196" s="579">
        <f t="shared" si="274"/>
        <v>0</v>
      </c>
    </row>
    <row r="197" spans="1:46" ht="15.75" hidden="1">
      <c r="B197" s="54"/>
      <c r="C197" s="25" t="s">
        <v>285</v>
      </c>
      <c r="D197" s="25"/>
      <c r="E197" s="64"/>
      <c r="F197" s="83"/>
      <c r="G197" s="74">
        <v>5558.1874653679633</v>
      </c>
      <c r="H197" s="83"/>
      <c r="I197" s="57"/>
      <c r="J197" s="188">
        <f t="shared" si="213"/>
        <v>0.8957234176276998</v>
      </c>
      <c r="K197" s="57"/>
      <c r="L197" s="75">
        <v>0.74693824919152896</v>
      </c>
      <c r="M197" s="75">
        <v>0.71618539106209178</v>
      </c>
      <c r="N197" s="220">
        <f t="shared" si="275"/>
        <v>3.3627538437575846E-3</v>
      </c>
      <c r="P197" s="156">
        <v>1.0345</v>
      </c>
      <c r="Q197" s="140">
        <f>G197*P197</f>
        <v>5749.9449329231584</v>
      </c>
      <c r="R197" s="579">
        <f>Q197/$E$6</f>
        <v>0.77270761878863681</v>
      </c>
      <c r="S197" s="579">
        <f t="shared" si="266"/>
        <v>0.74089378705373399</v>
      </c>
      <c r="V197" s="156">
        <v>1.1124000000000001</v>
      </c>
      <c r="W197" s="140">
        <f>G197*V197</f>
        <v>6182.9277364753225</v>
      </c>
      <c r="X197" s="579">
        <f t="shared" si="267"/>
        <v>0.83089410840065681</v>
      </c>
      <c r="Y197" s="579">
        <f t="shared" si="268"/>
        <v>0.79668462901747084</v>
      </c>
      <c r="AB197"/>
      <c r="AD197" s="156">
        <v>1.0772999999999999</v>
      </c>
      <c r="AE197" s="579">
        <f>W197*AD197</f>
        <v>6660.8680505048642</v>
      </c>
      <c r="AF197" s="579">
        <f t="shared" si="269"/>
        <v>0.8957234176276998</v>
      </c>
      <c r="AG197" s="579">
        <f t="shared" si="270"/>
        <v>0.83245762336887241</v>
      </c>
      <c r="AJ197" s="156">
        <v>1.046</v>
      </c>
      <c r="AK197" s="140">
        <f>AE197*AJ197</f>
        <v>6967.2679808280882</v>
      </c>
      <c r="AL197" s="579">
        <f t="shared" si="271"/>
        <v>0.93692669483857405</v>
      </c>
      <c r="AM197" s="579">
        <f t="shared" si="272"/>
        <v>0.87075067404384054</v>
      </c>
      <c r="AP197" s="156"/>
      <c r="AQ197" s="140">
        <f>AK197*AP197</f>
        <v>0</v>
      </c>
      <c r="AR197" s="579">
        <f t="shared" si="273"/>
        <v>0</v>
      </c>
      <c r="AS197" s="579">
        <f t="shared" si="274"/>
        <v>0</v>
      </c>
    </row>
    <row r="198" spans="1:46" ht="15.75" hidden="1">
      <c r="B198" s="38"/>
      <c r="C198" s="25" t="s">
        <v>286</v>
      </c>
      <c r="D198" s="25"/>
      <c r="E198" s="64"/>
      <c r="F198" s="83"/>
      <c r="G198" s="74">
        <v>1049.5037324675327</v>
      </c>
      <c r="H198" s="83"/>
      <c r="I198" s="57"/>
      <c r="J198" s="188">
        <f t="shared" si="213"/>
        <v>0.14946061249773454</v>
      </c>
      <c r="K198" s="57"/>
      <c r="L198" s="75">
        <v>0.14103779070671862</v>
      </c>
      <c r="M198" s="75">
        <v>0.13523099854794565</v>
      </c>
      <c r="N198" s="220">
        <f t="shared" si="275"/>
        <v>6.3495927987011237E-4</v>
      </c>
      <c r="P198" s="156">
        <v>1.0168897035008686</v>
      </c>
      <c r="Q198" s="140">
        <f>G198*P198</f>
        <v>1067.2295393319644</v>
      </c>
      <c r="R198" s="579">
        <f>Q198/$E$6</f>
        <v>0.14341987717417268</v>
      </c>
      <c r="S198" s="579">
        <f t="shared" si="266"/>
        <v>0.13751501001754687</v>
      </c>
      <c r="V198" s="156">
        <f>(296.01+792.8)/(286.15+763.35)</f>
        <v>1.0374559313959029</v>
      </c>
      <c r="W198" s="140">
        <f>G198*V198</f>
        <v>1088.8138722705805</v>
      </c>
      <c r="X198" s="579">
        <f t="shared" si="267"/>
        <v>0.14632049251965917</v>
      </c>
      <c r="Y198" s="579">
        <f t="shared" si="268"/>
        <v>0.14029620155215694</v>
      </c>
      <c r="AB198"/>
      <c r="AD198" s="156">
        <f>(300.24+811.19)/(296.01+792.8)</f>
        <v>1.0207749745134598</v>
      </c>
      <c r="AE198" s="579">
        <f t="shared" ref="AE198:AE200" si="276">W198*AD198</f>
        <v>1111.4339527169034</v>
      </c>
      <c r="AF198" s="579">
        <f t="shared" si="269"/>
        <v>0.14946061249773454</v>
      </c>
      <c r="AG198" s="579">
        <f t="shared" si="270"/>
        <v>0.13890406772733735</v>
      </c>
      <c r="AJ198" s="156">
        <f>AK198/AE198</f>
        <v>1.0418702768341197</v>
      </c>
      <c r="AK198" s="140">
        <f>305.07+852.9</f>
        <v>1157.97</v>
      </c>
      <c r="AL198" s="579">
        <f t="shared" si="271"/>
        <v>0.15571856971881176</v>
      </c>
      <c r="AM198" s="579">
        <f t="shared" si="272"/>
        <v>0.14472001949646626</v>
      </c>
      <c r="AP198" s="156"/>
      <c r="AQ198" s="140">
        <f t="shared" ref="AQ198:AQ200" si="277">AK198*AP198</f>
        <v>0</v>
      </c>
      <c r="AR198" s="579">
        <f t="shared" si="273"/>
        <v>0</v>
      </c>
      <c r="AS198" s="579">
        <f t="shared" si="274"/>
        <v>0</v>
      </c>
    </row>
    <row r="199" spans="1:46" ht="15.75" hidden="1">
      <c r="B199" s="38"/>
      <c r="C199" s="25" t="s">
        <v>287</v>
      </c>
      <c r="D199" s="25"/>
      <c r="E199" s="64"/>
      <c r="F199" s="83"/>
      <c r="G199" s="74">
        <v>2283.8150357142858</v>
      </c>
      <c r="H199" s="83"/>
      <c r="I199" s="57"/>
      <c r="J199" s="188">
        <f t="shared" si="213"/>
        <v>0.3575641553708595</v>
      </c>
      <c r="K199" s="57"/>
      <c r="L199" s="75">
        <v>0.30691098759850588</v>
      </c>
      <c r="M199" s="75">
        <v>0.2942748827127295</v>
      </c>
      <c r="N199" s="220"/>
      <c r="P199" s="156">
        <f>11.75/11.08</f>
        <v>1.0604693140794224</v>
      </c>
      <c r="Q199" s="140">
        <f>G199*P199</f>
        <v>2421.9157644082002</v>
      </c>
      <c r="R199" s="579">
        <f t="shared" ref="R199:R200" si="278">Q199/$E$6</f>
        <v>0.32546968450202562</v>
      </c>
      <c r="S199" s="579">
        <f t="shared" si="266"/>
        <v>0.31206948302117077</v>
      </c>
      <c r="V199" s="156">
        <f>12.33/11.08</f>
        <v>1.1128158844765343</v>
      </c>
      <c r="W199" s="140">
        <f>G199*V199</f>
        <v>2541.4656489492008</v>
      </c>
      <c r="X199" s="579">
        <f t="shared" si="267"/>
        <v>0.34153542211999799</v>
      </c>
      <c r="Y199" s="579">
        <f t="shared" si="268"/>
        <v>0.3274737638851945</v>
      </c>
      <c r="AB199"/>
      <c r="AD199" s="156">
        <f>12.9/12.33</f>
        <v>1.0462287104622872</v>
      </c>
      <c r="AE199" s="579">
        <f t="shared" si="276"/>
        <v>2658.9543285843224</v>
      </c>
      <c r="AF199" s="579">
        <f t="shared" si="269"/>
        <v>0.3575641553708595</v>
      </c>
      <c r="AG199" s="579">
        <f t="shared" si="270"/>
        <v>0.33230906005590516</v>
      </c>
      <c r="AJ199" s="156">
        <f>13.37/12.9</f>
        <v>1.0364341085271318</v>
      </c>
      <c r="AK199" s="140">
        <f t="shared" ref="AK199:AK200" si="279">AE199*AJ199</f>
        <v>2755.8309591606503</v>
      </c>
      <c r="AL199" s="579">
        <f t="shared" si="271"/>
        <v>0.37059168661305358</v>
      </c>
      <c r="AM199" s="579">
        <f t="shared" si="272"/>
        <v>0.34441644441453118</v>
      </c>
      <c r="AP199" s="156"/>
      <c r="AQ199" s="140">
        <f t="shared" si="277"/>
        <v>0</v>
      </c>
      <c r="AR199" s="579">
        <f t="shared" si="273"/>
        <v>0</v>
      </c>
      <c r="AS199" s="579">
        <f t="shared" si="274"/>
        <v>0</v>
      </c>
    </row>
    <row r="200" spans="1:46" ht="15.75" hidden="1">
      <c r="B200" s="38"/>
      <c r="C200" s="25" t="s">
        <v>288</v>
      </c>
      <c r="D200" s="25"/>
      <c r="E200" s="64"/>
      <c r="F200" s="83"/>
      <c r="G200" s="74">
        <v>3731.3009078643586</v>
      </c>
      <c r="H200" s="83"/>
      <c r="I200" s="57"/>
      <c r="J200" s="188">
        <f t="shared" si="213"/>
        <v>0.53710428269869037</v>
      </c>
      <c r="K200" s="57"/>
      <c r="L200" s="75">
        <v>0.50143169597869219</v>
      </c>
      <c r="M200" s="75">
        <v>0.48078680622411529</v>
      </c>
      <c r="N200" s="220"/>
      <c r="P200" s="156">
        <f>137.6/134.9</f>
        <v>1.0200148257968864</v>
      </c>
      <c r="Q200" s="140">
        <f>G200*P200</f>
        <v>3805.9822455310277</v>
      </c>
      <c r="R200" s="579">
        <f t="shared" si="278"/>
        <v>0.51146776402274308</v>
      </c>
      <c r="S200" s="579">
        <f t="shared" si="266"/>
        <v>0.49040967039613237</v>
      </c>
      <c r="V200" s="156">
        <f>141.6/134.9</f>
        <v>1.0496664195700518</v>
      </c>
      <c r="W200" s="140">
        <f>G200*V200</f>
        <v>3916.6212642964651</v>
      </c>
      <c r="X200" s="579">
        <f t="shared" si="267"/>
        <v>0.52633601297689259</v>
      </c>
      <c r="Y200" s="579">
        <f t="shared" si="268"/>
        <v>0.50466576546578745</v>
      </c>
      <c r="AB200"/>
      <c r="AD200" s="156">
        <f>144.4/141.6</f>
        <v>1.0197740112994351</v>
      </c>
      <c r="AE200" s="579">
        <f t="shared" si="276"/>
        <v>3994.0685774322715</v>
      </c>
      <c r="AF200" s="579">
        <f t="shared" si="269"/>
        <v>0.53710428269869037</v>
      </c>
      <c r="AG200" s="579">
        <f t="shared" si="270"/>
        <v>0.49916809796127848</v>
      </c>
      <c r="AJ200" s="156">
        <f>148.9/144.4</f>
        <v>1.0311634349030472</v>
      </c>
      <c r="AK200" s="140">
        <f t="shared" si="279"/>
        <v>4118.5374735433879</v>
      </c>
      <c r="AL200" s="579">
        <f t="shared" si="271"/>
        <v>0.55384229704871879</v>
      </c>
      <c r="AM200" s="579">
        <f t="shared" si="272"/>
        <v>0.51472389048777256</v>
      </c>
      <c r="AP200" s="156"/>
      <c r="AQ200" s="140">
        <f t="shared" si="277"/>
        <v>0</v>
      </c>
      <c r="AR200" s="579">
        <f t="shared" si="273"/>
        <v>0</v>
      </c>
      <c r="AS200" s="579">
        <f t="shared" si="274"/>
        <v>0</v>
      </c>
    </row>
    <row r="201" spans="1:46" ht="15.75" hidden="1">
      <c r="B201" s="24"/>
      <c r="C201" s="48"/>
      <c r="D201" s="48"/>
      <c r="E201" s="83"/>
      <c r="F201" s="86" t="s">
        <v>69</v>
      </c>
      <c r="G201" s="123">
        <v>20069.445423508438</v>
      </c>
      <c r="H201" s="133"/>
      <c r="J201" s="198">
        <f t="shared" si="213"/>
        <v>2.9412427136254129</v>
      </c>
      <c r="L201" s="124">
        <v>2.6970368524423143</v>
      </c>
      <c r="M201" s="124">
        <v>2.5859947525327209</v>
      </c>
      <c r="N201" s="221">
        <f t="shared" si="275"/>
        <v>1.2142196563267264E-2</v>
      </c>
      <c r="P201" s="160"/>
      <c r="Q201" s="161">
        <f>SUM(Q194:Q200)</f>
        <v>20491.710764288648</v>
      </c>
      <c r="R201" s="594">
        <f>Q201/$E$6</f>
        <v>2.7537830734544468</v>
      </c>
      <c r="S201" s="594">
        <f t="shared" si="266"/>
        <v>2.6404046244744226</v>
      </c>
      <c r="T201" s="160"/>
      <c r="V201" s="160"/>
      <c r="W201" s="161">
        <f>SUM(W194:W200)</f>
        <v>21176.466804085867</v>
      </c>
      <c r="X201" s="594">
        <f t="shared" si="267"/>
        <v>2.8458041649840751</v>
      </c>
      <c r="Y201" s="594">
        <f t="shared" si="268"/>
        <v>2.7286370339064487</v>
      </c>
      <c r="Z201" s="160"/>
      <c r="AB201"/>
      <c r="AD201" s="160"/>
      <c r="AE201" s="594">
        <f>SUM(AE194:AE200)</f>
        <v>21871.963191332659</v>
      </c>
      <c r="AF201" s="594">
        <f>AE201/$AB$6</f>
        <v>2.9412427136254129</v>
      </c>
      <c r="AG201" s="594">
        <f>AE201/($AB$7/100)</f>
        <v>2.7334999520502734</v>
      </c>
      <c r="AH201" s="160"/>
      <c r="AJ201" s="160"/>
      <c r="AK201" s="161">
        <f>SUM(AK194:AK200)</f>
        <v>22446.244695626425</v>
      </c>
      <c r="AL201" s="594">
        <f>AK201/$AB$6</f>
        <v>3.0184694936495871</v>
      </c>
      <c r="AM201" s="594">
        <f>AK201/($AB$7/100)</f>
        <v>2.8052721313794908</v>
      </c>
      <c r="AN201" s="160"/>
      <c r="AP201" s="160"/>
      <c r="AQ201" s="161">
        <f>SUM(AQ194:AQ200)</f>
        <v>7446.638282094299</v>
      </c>
      <c r="AR201" s="594">
        <f>AQ201/$AB$6</f>
        <v>1.0013902454304289</v>
      </c>
      <c r="AS201" s="594">
        <f>AQ201/($AB$7/100)</f>
        <v>0.93066110293688009</v>
      </c>
      <c r="AT201" s="160"/>
    </row>
    <row r="202" spans="1:46" ht="15.75" hidden="1">
      <c r="B202" s="26"/>
      <c r="C202" s="27" t="s">
        <v>6</v>
      </c>
      <c r="D202" s="27"/>
      <c r="E202" s="103"/>
      <c r="F202" s="103"/>
      <c r="G202" s="78">
        <v>166368.42238210709</v>
      </c>
      <c r="H202" s="104"/>
      <c r="J202" s="189">
        <f t="shared" si="213"/>
        <v>20.097177382994385</v>
      </c>
      <c r="L202" s="80">
        <v>22.357457158315029</v>
      </c>
      <c r="M202" s="80">
        <v>21.43695843051681</v>
      </c>
      <c r="N202" s="202">
        <f>G202/$N$6</f>
        <v>0.10065440493527486</v>
      </c>
      <c r="P202" s="160"/>
      <c r="Q202" s="161">
        <f>Q169+Q182+Q201+Q191</f>
        <v>182428.10889083412</v>
      </c>
      <c r="R202" s="594">
        <f>Q202/$E$6</f>
        <v>24.515641674065122</v>
      </c>
      <c r="S202" s="594">
        <f t="shared" si="266"/>
        <v>23.506286414549791</v>
      </c>
      <c r="T202" s="160"/>
      <c r="V202" s="160"/>
      <c r="W202" s="161">
        <f>W169+W182+W201+W191</f>
        <v>168494.69021071214</v>
      </c>
      <c r="X202" s="594">
        <f t="shared" si="267"/>
        <v>22.643196129716454</v>
      </c>
      <c r="Y202" s="594">
        <f t="shared" si="268"/>
        <v>21.710932988917467</v>
      </c>
      <c r="Z202" s="160"/>
      <c r="AB202"/>
      <c r="AD202" s="160"/>
      <c r="AE202" s="594">
        <f>AE169+AE182+AE201+AE191</f>
        <v>149448.64017316114</v>
      </c>
      <c r="AF202" s="594">
        <f>AE202/$AB$6</f>
        <v>20.097177382994385</v>
      </c>
      <c r="AG202" s="594">
        <f>AE202/($AB$7/100)</f>
        <v>18.677694689482674</v>
      </c>
      <c r="AH202" s="160"/>
      <c r="AJ202" s="160"/>
      <c r="AK202" s="161">
        <f>AK169+AK182+AK201+AK191</f>
        <v>153299.69767091124</v>
      </c>
      <c r="AL202" s="594">
        <f>AK202/$AB$6</f>
        <v>20.615050182336812</v>
      </c>
      <c r="AM202" s="594">
        <f>AK202/($AB$7/100)</f>
        <v>19.158989641991294</v>
      </c>
      <c r="AN202" s="160"/>
      <c r="AP202" s="160"/>
      <c r="AQ202" s="161">
        <f>AQ169+AQ182+AQ201+AQ191</f>
        <v>18080.5482820943</v>
      </c>
      <c r="AR202" s="594">
        <f>AQ202/$AB$6</f>
        <v>2.4313903799059076</v>
      </c>
      <c r="AS202" s="594">
        <f>AQ202/($AB$7/100)</f>
        <v>2.2596589720730993</v>
      </c>
      <c r="AT202" s="160"/>
    </row>
    <row r="203" spans="1:46" ht="15.75" hidden="1">
      <c r="C203" s="21"/>
      <c r="D203" s="21"/>
      <c r="E203" s="28"/>
      <c r="F203" s="41"/>
      <c r="G203" s="28"/>
      <c r="H203" s="134"/>
      <c r="J203" s="184"/>
      <c r="L203" s="28"/>
      <c r="M203" s="28"/>
      <c r="N203" s="147"/>
      <c r="AB203"/>
    </row>
    <row r="204" spans="1:46" ht="15" hidden="1">
      <c r="B204" s="17">
        <v>21</v>
      </c>
      <c r="C204" s="18" t="s">
        <v>61</v>
      </c>
      <c r="D204" s="18" t="s">
        <v>65</v>
      </c>
      <c r="E204" s="18" t="s">
        <v>4</v>
      </c>
      <c r="F204" s="18" t="s">
        <v>70</v>
      </c>
      <c r="G204" s="68" t="s">
        <v>67</v>
      </c>
      <c r="H204" s="92"/>
      <c r="J204" s="186" t="s">
        <v>88</v>
      </c>
      <c r="L204" s="69" t="s">
        <v>213</v>
      </c>
      <c r="M204" s="69" t="s">
        <v>214</v>
      </c>
      <c r="N204" s="141" t="s">
        <v>85</v>
      </c>
      <c r="Q204" s="69" t="s">
        <v>67</v>
      </c>
      <c r="R204" s="69" t="s">
        <v>213</v>
      </c>
      <c r="S204" s="69" t="s">
        <v>214</v>
      </c>
      <c r="T204" s="141" t="s">
        <v>85</v>
      </c>
      <c r="W204" s="69" t="s">
        <v>67</v>
      </c>
      <c r="X204" s="69" t="s">
        <v>213</v>
      </c>
      <c r="Y204" s="69" t="s">
        <v>214</v>
      </c>
      <c r="Z204" s="141" t="s">
        <v>85</v>
      </c>
      <c r="AB204"/>
      <c r="AE204" s="69" t="s">
        <v>67</v>
      </c>
      <c r="AF204" s="69" t="s">
        <v>213</v>
      </c>
      <c r="AG204" s="69" t="s">
        <v>214</v>
      </c>
      <c r="AH204" s="141" t="s">
        <v>85</v>
      </c>
      <c r="AK204" s="69" t="s">
        <v>67</v>
      </c>
      <c r="AL204" s="69" t="s">
        <v>213</v>
      </c>
      <c r="AM204" s="69" t="s">
        <v>214</v>
      </c>
      <c r="AN204" s="141" t="s">
        <v>85</v>
      </c>
      <c r="AQ204" s="69" t="s">
        <v>67</v>
      </c>
      <c r="AR204" s="69" t="s">
        <v>213</v>
      </c>
      <c r="AS204" s="69" t="s">
        <v>214</v>
      </c>
      <c r="AT204" s="141" t="s">
        <v>85</v>
      </c>
    </row>
    <row r="205" spans="1:46" ht="15.75" hidden="1">
      <c r="A205" s="21"/>
      <c r="B205" s="22"/>
      <c r="C205" s="30" t="s">
        <v>7</v>
      </c>
      <c r="D205" s="30">
        <v>1.4127920807431547</v>
      </c>
      <c r="E205" s="135"/>
      <c r="F205" s="87">
        <v>61509.550000000025</v>
      </c>
      <c r="G205" s="72">
        <v>86900.205130075148</v>
      </c>
      <c r="H205" s="83"/>
      <c r="J205" s="188">
        <f t="shared" ref="J205:J208" si="280">IF($D$2=$L$2,L205,IF($D$2=$M$2,M205,IF($D$2=$N$2,N205,IF($D$2=$R$2,R205,IF($D$2=$S$2,S205,IF($D$2=$T$2,T205,IF($D$2=$X$2,X205,IF($D$2=$Y$2,Y205,IF($D$2=$Z$2,Z205,IF($D$2=$AF$2,AF205,IF($D$2=$AG$2,AG205,IF($D$2=$AH$2,AH205,IF($D$2=$AL$2,AL205,IF($D$2=$AM$2,AM205,IF($D$2=$AN$2,AN205,IF($D$2=$AR$2,AR205,IF($D$2=$AS$2,AS205,IF($D$2=$AT$2,AT205))))))))))))))))))</f>
        <v>13.45897167034847</v>
      </c>
      <c r="L205" s="75">
        <v>11.678103244750119</v>
      </c>
      <c r="M205" s="75">
        <v>11.197293682921627</v>
      </c>
      <c r="N205" s="143"/>
      <c r="P205" s="156">
        <f>932.11/903.16</f>
        <v>1.0320541210859648</v>
      </c>
      <c r="Q205" s="140">
        <f>G205*P205</f>
        <v>89685.714827709759</v>
      </c>
      <c r="R205" s="579">
        <f>Q205/$E$6</f>
        <v>12.052434580211738</v>
      </c>
      <c r="S205" s="579">
        <f>Q205/($E$7/100)</f>
        <v>11.556213090469106</v>
      </c>
      <c r="V205" s="156">
        <f>964.47/903.16</f>
        <v>1.0678838743965633</v>
      </c>
      <c r="W205" s="140">
        <f>G205*V205</f>
        <v>92799.327740160748</v>
      </c>
      <c r="X205" s="579">
        <f>W205/$E$6</f>
        <v>12.470858138606834</v>
      </c>
      <c r="Y205" s="579">
        <f>W205/($E$7/100)</f>
        <v>11.957409360874509</v>
      </c>
      <c r="AB205"/>
      <c r="AD205" s="156">
        <f>1040.19/964.47</f>
        <v>1.0785094404180535</v>
      </c>
      <c r="AE205" s="579">
        <f>W205*AD205</f>
        <v>100084.95103221232</v>
      </c>
      <c r="AF205" s="579">
        <f t="shared" ref="AF205" si="281">AE205/$AB$6</f>
        <v>13.45897167034847</v>
      </c>
      <c r="AG205" s="579">
        <f t="shared" ref="AG205" si="282">AE205/($AB$7/100)</f>
        <v>12.508351740273616</v>
      </c>
      <c r="AJ205" s="156">
        <f>1069.8/1040.19</f>
        <v>1.0284659533354483</v>
      </c>
      <c r="AK205" s="140">
        <f>AE205*AJ205</f>
        <v>102933.96457787591</v>
      </c>
      <c r="AL205" s="579">
        <f t="shared" ref="AL205" si="283">AK205/$AB$6</f>
        <v>13.84209412985973</v>
      </c>
      <c r="AM205" s="579">
        <f t="shared" ref="AM205" si="284">AK205/($AB$7/100)</f>
        <v>12.86441389721562</v>
      </c>
      <c r="AP205" s="156"/>
      <c r="AQ205" s="140">
        <f>AK205*AP205</f>
        <v>0</v>
      </c>
      <c r="AR205" s="579">
        <f t="shared" ref="AR205" si="285">AQ205/$AB$6</f>
        <v>0</v>
      </c>
      <c r="AS205" s="579">
        <f t="shared" ref="AS205" si="286">AQ205/($AB$7/100)</f>
        <v>0</v>
      </c>
    </row>
    <row r="206" spans="1:46" ht="15.75" hidden="1">
      <c r="B206" s="24"/>
      <c r="C206" s="55"/>
      <c r="D206" s="55">
        <v>2905.0048586830317</v>
      </c>
      <c r="E206" s="111" t="s">
        <v>289</v>
      </c>
      <c r="F206" s="64"/>
      <c r="G206" s="74"/>
      <c r="H206" s="83"/>
      <c r="I206" s="57"/>
      <c r="J206" s="188"/>
      <c r="K206" s="57"/>
      <c r="L206" s="410"/>
      <c r="M206" s="410"/>
      <c r="N206" s="411"/>
      <c r="AB206"/>
    </row>
    <row r="207" spans="1:46" ht="15.75" hidden="1">
      <c r="B207" s="24"/>
      <c r="C207" s="55"/>
      <c r="D207" s="55">
        <v>4104.1678588677732</v>
      </c>
      <c r="E207" s="106" t="s">
        <v>68</v>
      </c>
      <c r="F207" s="20"/>
      <c r="G207" s="74"/>
      <c r="H207" s="83"/>
      <c r="I207" s="57"/>
      <c r="J207" s="188"/>
      <c r="K207" s="57"/>
      <c r="L207" s="75"/>
      <c r="M207" s="75"/>
      <c r="N207" s="143"/>
      <c r="AB207"/>
    </row>
    <row r="208" spans="1:46" ht="15.75" hidden="1">
      <c r="B208" s="26"/>
      <c r="C208" s="27" t="s">
        <v>6</v>
      </c>
      <c r="D208" s="27"/>
      <c r="E208" s="136"/>
      <c r="F208" s="136"/>
      <c r="G208" s="78">
        <v>86900.205130075148</v>
      </c>
      <c r="H208" s="90"/>
      <c r="J208" s="189">
        <f t="shared" si="280"/>
        <v>13.45897167034847</v>
      </c>
      <c r="L208" s="80">
        <v>11.678103244750119</v>
      </c>
      <c r="M208" s="80">
        <v>11.197293682921627</v>
      </c>
      <c r="N208" s="144"/>
      <c r="P208" s="160"/>
      <c r="Q208" s="161">
        <f>Q205</f>
        <v>89685.714827709759</v>
      </c>
      <c r="R208" s="594">
        <f>Q208/$E$6</f>
        <v>12.052434580211738</v>
      </c>
      <c r="S208" s="594">
        <f>Q208/($E$7/100)</f>
        <v>11.556213090469106</v>
      </c>
      <c r="T208" s="160"/>
      <c r="V208" s="160"/>
      <c r="W208" s="161">
        <f>W205</f>
        <v>92799.327740160748</v>
      </c>
      <c r="X208" s="594">
        <f>W208/$E$6</f>
        <v>12.470858138606834</v>
      </c>
      <c r="Y208" s="594">
        <f>W208/($E$7/100)</f>
        <v>11.957409360874509</v>
      </c>
      <c r="Z208" s="160"/>
      <c r="AB208"/>
      <c r="AD208" s="160"/>
      <c r="AE208" s="594">
        <f>AE205</f>
        <v>100084.95103221232</v>
      </c>
      <c r="AF208" s="594">
        <f>AE208/$AB$6</f>
        <v>13.45897167034847</v>
      </c>
      <c r="AG208" s="594">
        <f>AE208/($AB$7/100)</f>
        <v>12.508351740273616</v>
      </c>
      <c r="AH208" s="160"/>
      <c r="AJ208" s="160"/>
      <c r="AK208" s="161">
        <f>AK205</f>
        <v>102933.96457787591</v>
      </c>
      <c r="AL208" s="594">
        <f>AK208/$AB$6</f>
        <v>13.84209412985973</v>
      </c>
      <c r="AM208" s="594">
        <f>AK208/($AB$7/100)</f>
        <v>12.86441389721562</v>
      </c>
      <c r="AN208" s="160"/>
      <c r="AP208" s="160"/>
      <c r="AQ208" s="161">
        <f>AQ205</f>
        <v>0</v>
      </c>
      <c r="AR208" s="594">
        <f>AQ208/$AB$6</f>
        <v>0</v>
      </c>
      <c r="AS208" s="594">
        <f>AQ208/($AB$7/100)</f>
        <v>0</v>
      </c>
      <c r="AT208" s="160"/>
    </row>
    <row r="209" spans="1:46" ht="15.75" hidden="1">
      <c r="A209" s="21"/>
      <c r="B209" s="28"/>
      <c r="C209" s="28"/>
      <c r="D209" s="28"/>
      <c r="E209" s="137"/>
      <c r="F209" s="137"/>
      <c r="G209" s="28"/>
      <c r="H209" s="91"/>
      <c r="J209" s="184"/>
      <c r="L209" s="28"/>
      <c r="M209" s="28"/>
      <c r="N209" s="147"/>
      <c r="AB209"/>
    </row>
    <row r="210" spans="1:46" ht="15" hidden="1">
      <c r="B210" s="17">
        <v>22</v>
      </c>
      <c r="C210" s="18" t="s">
        <v>290</v>
      </c>
      <c r="D210" s="18" t="s">
        <v>65</v>
      </c>
      <c r="E210" s="18" t="s">
        <v>4</v>
      </c>
      <c r="F210" s="18" t="s">
        <v>70</v>
      </c>
      <c r="G210" s="68" t="s">
        <v>67</v>
      </c>
      <c r="H210" s="92"/>
      <c r="J210" s="186" t="s">
        <v>88</v>
      </c>
      <c r="L210" s="69" t="s">
        <v>213</v>
      </c>
      <c r="M210" s="69" t="s">
        <v>214</v>
      </c>
      <c r="N210" s="141" t="s">
        <v>85</v>
      </c>
      <c r="Q210" s="69" t="s">
        <v>67</v>
      </c>
      <c r="R210" s="69" t="s">
        <v>213</v>
      </c>
      <c r="S210" s="69" t="s">
        <v>214</v>
      </c>
      <c r="T210" s="141" t="s">
        <v>85</v>
      </c>
      <c r="W210" s="69" t="s">
        <v>67</v>
      </c>
      <c r="X210" s="69" t="s">
        <v>213</v>
      </c>
      <c r="Y210" s="69" t="s">
        <v>214</v>
      </c>
      <c r="Z210" s="141" t="s">
        <v>85</v>
      </c>
      <c r="AB210"/>
      <c r="AE210" s="69" t="s">
        <v>67</v>
      </c>
      <c r="AF210" s="69" t="s">
        <v>213</v>
      </c>
      <c r="AG210" s="69" t="s">
        <v>214</v>
      </c>
      <c r="AH210" s="141" t="s">
        <v>85</v>
      </c>
      <c r="AK210" s="69" t="s">
        <v>67</v>
      </c>
      <c r="AL210" s="69" t="s">
        <v>213</v>
      </c>
      <c r="AM210" s="69" t="s">
        <v>214</v>
      </c>
      <c r="AN210" s="141" t="s">
        <v>85</v>
      </c>
      <c r="AQ210" s="69" t="s">
        <v>67</v>
      </c>
      <c r="AR210" s="69" t="s">
        <v>213</v>
      </c>
      <c r="AS210" s="69" t="s">
        <v>214</v>
      </c>
      <c r="AT210" s="141" t="s">
        <v>85</v>
      </c>
    </row>
    <row r="211" spans="1:46" ht="15.75" hidden="1">
      <c r="A211" s="21"/>
      <c r="B211" s="22"/>
      <c r="C211" s="30" t="s">
        <v>42</v>
      </c>
      <c r="D211" s="30">
        <v>423.55559988070826</v>
      </c>
      <c r="E211" s="135"/>
      <c r="F211" s="87">
        <v>11.079999999999998</v>
      </c>
      <c r="G211" s="72">
        <v>4692.9960466782468</v>
      </c>
      <c r="H211" s="83"/>
      <c r="J211" s="188">
        <f t="shared" ref="J211:J215" si="287">IF($D$2=$L$2,L211,IF($D$2=$M$2,M211,IF($D$2=$N$2,N211,IF($D$2=$R$2,R211,IF($D$2=$S$2,S211,IF($D$2=$T$2,T211,IF($D$2=$X$2,X211,IF($D$2=$Y$2,Y211,IF($D$2=$Z$2,Z211,IF($D$2=$AF$2,AF211,IF($D$2=$AG$2,AG211,IF($D$2=$AH$2,AH211,IF($D$2=$AL$2,AL211,IF($D$2=$AM$2,AM211,IF($D$2=$AN$2,AN211,IF($D$2=$AR$2,AR211,IF($D$2=$AS$2,AS211,IF($D$2=$AT$2,AT211))))))))))))))))))</f>
        <v>0.73475616078710326</v>
      </c>
      <c r="L211" s="75">
        <v>0.63066930944844513</v>
      </c>
      <c r="M211" s="75">
        <v>0.60470346311369017</v>
      </c>
      <c r="N211" s="143"/>
      <c r="P211" s="156">
        <f>11.75/11.08</f>
        <v>1.0604693140794224</v>
      </c>
      <c r="Q211" s="140">
        <f>G211*P211</f>
        <v>4976.7782985983213</v>
      </c>
      <c r="R211" s="579">
        <f>Q211/$E$6</f>
        <v>0.66880545000173552</v>
      </c>
      <c r="S211" s="579">
        <f>Q211/($E$7/100)</f>
        <v>0.64126946674962626</v>
      </c>
      <c r="V211" s="156">
        <f>12.33/11.08</f>
        <v>1.1128158844765343</v>
      </c>
      <c r="W211" s="140">
        <f>G211*V211</f>
        <v>5222.440546529132</v>
      </c>
      <c r="X211" s="579">
        <f>W211/$E$6</f>
        <v>0.70181882540607654</v>
      </c>
      <c r="Y211" s="579">
        <f>W211/($E$7/100)</f>
        <v>0.67292361915088439</v>
      </c>
      <c r="AB211"/>
      <c r="AD211" s="156">
        <f>12.9/12.33</f>
        <v>1.0462287104622872</v>
      </c>
      <c r="AE211" s="579">
        <f>W211*AD211</f>
        <v>5463.8672384611364</v>
      </c>
      <c r="AF211" s="579">
        <f t="shared" ref="AF211:AF213" si="288">AE211/$AB$6</f>
        <v>0.73475616078710326</v>
      </c>
      <c r="AG211" s="579">
        <f t="shared" ref="AG211:AG213" si="289">AE211/($AB$7/100)</f>
        <v>0.68285963649852666</v>
      </c>
      <c r="AJ211" s="156">
        <f>13.37/12.9</f>
        <v>1.0364341085271318</v>
      </c>
      <c r="AK211" s="140">
        <f>AE211*AJ211</f>
        <v>5662.9383704050697</v>
      </c>
      <c r="AL211" s="579">
        <f t="shared" ref="AL211:AL213" si="290">AK211/$AB$6</f>
        <v>0.76152634649019935</v>
      </c>
      <c r="AM211" s="579">
        <f t="shared" ref="AM211:AM213" si="291">AK211/($AB$7/100)</f>
        <v>0.70773901860351185</v>
      </c>
      <c r="AP211" s="156"/>
      <c r="AQ211" s="140">
        <f>AK211*AP211</f>
        <v>0</v>
      </c>
      <c r="AR211" s="579">
        <f t="shared" ref="AR211:AR213" si="292">AQ211/$AB$6</f>
        <v>0</v>
      </c>
      <c r="AS211" s="579">
        <f t="shared" ref="AS211:AS213" si="293">AQ211/($AB$7/100)</f>
        <v>0</v>
      </c>
    </row>
    <row r="212" spans="1:46" ht="15.75" hidden="1">
      <c r="B212" s="24"/>
      <c r="C212" s="55" t="s">
        <v>43</v>
      </c>
      <c r="D212" s="55">
        <v>431.18814060609623</v>
      </c>
      <c r="E212" s="111"/>
      <c r="F212" s="64">
        <v>14.524831485553992</v>
      </c>
      <c r="G212" s="74">
        <v>6262.9350808729087</v>
      </c>
      <c r="H212" s="83"/>
      <c r="I212" s="57"/>
      <c r="J212" s="188">
        <f t="shared" si="287"/>
        <v>0.98055274061826636</v>
      </c>
      <c r="K212" s="57"/>
      <c r="L212" s="75">
        <v>0.84164591303465919</v>
      </c>
      <c r="M212" s="75">
        <v>0.80699376155253766</v>
      </c>
      <c r="N212" s="411"/>
      <c r="P212" s="157" t="s">
        <v>296</v>
      </c>
      <c r="Q212" s="140">
        <f>G212*P211</f>
        <v>6641.6504693372453</v>
      </c>
      <c r="R212" s="579">
        <f t="shared" ref="R212:R213" si="294">Q212/$E$6</f>
        <v>0.89253966409361418</v>
      </c>
      <c r="S212" s="579">
        <f>Q212/($E$7/100)</f>
        <v>0.85579212077999245</v>
      </c>
      <c r="V212" s="157" t="s">
        <v>295</v>
      </c>
      <c r="W212" s="140">
        <f>G212*V211</f>
        <v>6969.4936414407011</v>
      </c>
      <c r="X212" s="579">
        <f>W212/$E$6</f>
        <v>0.93659694112972458</v>
      </c>
      <c r="Y212" s="579">
        <f>W212/($E$7/100)</f>
        <v>0.89803547652913251</v>
      </c>
      <c r="AB212"/>
      <c r="AD212" s="157" t="s">
        <v>298</v>
      </c>
      <c r="AE212" s="579">
        <f>W212*AD211</f>
        <v>7291.6843450596143</v>
      </c>
      <c r="AF212" s="579">
        <f t="shared" si="288"/>
        <v>0.98055274061826636</v>
      </c>
      <c r="AG212" s="579">
        <f t="shared" si="289"/>
        <v>0.91129537084648593</v>
      </c>
      <c r="AK212" s="140">
        <f>AE212*AJ211</f>
        <v>7557.350363833104</v>
      </c>
      <c r="AL212" s="579">
        <f t="shared" si="290"/>
        <v>1.0162783055865288</v>
      </c>
      <c r="AM212" s="579">
        <f t="shared" si="291"/>
        <v>0.9444976052881795</v>
      </c>
      <c r="AP212" s="157" t="s">
        <v>297</v>
      </c>
      <c r="AQ212" s="140">
        <f>AK212*AP211</f>
        <v>0</v>
      </c>
      <c r="AR212" s="579">
        <f t="shared" si="292"/>
        <v>0</v>
      </c>
      <c r="AS212" s="579">
        <f t="shared" si="293"/>
        <v>0</v>
      </c>
    </row>
    <row r="213" spans="1:46" ht="15.75" hidden="1">
      <c r="B213" s="24"/>
      <c r="C213" s="55" t="s">
        <v>44</v>
      </c>
      <c r="D213" s="55">
        <v>204.75766464435785</v>
      </c>
      <c r="E213" s="106"/>
      <c r="F213" s="20">
        <v>19.75215682282553</v>
      </c>
      <c r="G213" s="74">
        <v>4044.4055027308746</v>
      </c>
      <c r="H213" s="83"/>
      <c r="I213" s="57"/>
      <c r="J213" s="188">
        <f t="shared" si="287"/>
        <v>0.63320996444395883</v>
      </c>
      <c r="K213" s="57"/>
      <c r="L213" s="75">
        <v>0.54350832606010235</v>
      </c>
      <c r="M213" s="75">
        <v>0.52113106199364767</v>
      </c>
      <c r="N213" s="143"/>
      <c r="P213" s="157" t="s">
        <v>296</v>
      </c>
      <c r="Q213" s="140">
        <f>G213*P211</f>
        <v>4288.9679293400523</v>
      </c>
      <c r="R213" s="579">
        <f t="shared" si="294"/>
        <v>0.57637390173341185</v>
      </c>
      <c r="S213" s="579">
        <f>Q213/($E$7/100)</f>
        <v>0.55264349985788441</v>
      </c>
      <c r="V213" s="157" t="s">
        <v>295</v>
      </c>
      <c r="W213" s="140">
        <f>G213*V211</f>
        <v>4500.6786867032206</v>
      </c>
      <c r="X213" s="579">
        <f>W213/$E$6</f>
        <v>0.60482469858493348</v>
      </c>
      <c r="Y213" s="579">
        <f>W213/($E$7/100)</f>
        <v>0.57992292368065657</v>
      </c>
      <c r="AB213"/>
      <c r="AD213" s="157" t="s">
        <v>298</v>
      </c>
      <c r="AE213" s="579">
        <f>W213*AD211</f>
        <v>4708.7392585946109</v>
      </c>
      <c r="AF213" s="579">
        <f t="shared" si="288"/>
        <v>0.63320996444395883</v>
      </c>
      <c r="AG213" s="579">
        <f t="shared" si="289"/>
        <v>0.58848574428317502</v>
      </c>
      <c r="AK213" s="140">
        <f>AE213*AJ211</f>
        <v>4880.2979757682133</v>
      </c>
      <c r="AL213" s="579">
        <f t="shared" si="290"/>
        <v>0.65628040500897133</v>
      </c>
      <c r="AM213" s="579">
        <f t="shared" si="291"/>
        <v>0.60992669775705821</v>
      </c>
      <c r="AP213" s="157" t="s">
        <v>297</v>
      </c>
      <c r="AQ213" s="140">
        <f>AK213*AP211</f>
        <v>0</v>
      </c>
      <c r="AR213" s="579">
        <f t="shared" si="292"/>
        <v>0</v>
      </c>
      <c r="AS213" s="579">
        <f t="shared" si="293"/>
        <v>0</v>
      </c>
    </row>
    <row r="214" spans="1:46" ht="15.75" hidden="1">
      <c r="B214" s="24"/>
      <c r="C214" s="55"/>
      <c r="D214" s="55"/>
      <c r="E214" s="106"/>
      <c r="F214" s="20"/>
      <c r="G214" s="74"/>
      <c r="H214" s="83"/>
      <c r="I214" s="57"/>
      <c r="J214" s="188"/>
      <c r="K214" s="57"/>
      <c r="L214" s="75"/>
      <c r="M214" s="75"/>
      <c r="N214" s="143"/>
      <c r="Q214" s="140"/>
      <c r="R214" s="579"/>
      <c r="S214" s="579"/>
      <c r="W214" s="140"/>
      <c r="X214" s="579"/>
      <c r="Y214" s="579"/>
      <c r="AB214" s="156" t="s">
        <v>376</v>
      </c>
      <c r="AC214" s="140"/>
      <c r="AE214" s="614">
        <v>237.6</v>
      </c>
      <c r="AF214" s="579"/>
      <c r="AG214" s="579"/>
      <c r="AK214" s="140">
        <f>AE214*AJ211</f>
        <v>246.25674418604652</v>
      </c>
      <c r="AL214" s="579"/>
      <c r="AM214" s="579"/>
      <c r="AQ214" s="140"/>
      <c r="AR214" s="579"/>
      <c r="AS214" s="579"/>
    </row>
    <row r="215" spans="1:46" ht="15.75" hidden="1">
      <c r="B215" s="26"/>
      <c r="C215" s="27" t="s">
        <v>6</v>
      </c>
      <c r="D215" s="27"/>
      <c r="E215" s="136"/>
      <c r="F215" s="136"/>
      <c r="G215" s="78">
        <v>83143.86862653149</v>
      </c>
      <c r="H215" s="90"/>
      <c r="J215" s="189">
        <f t="shared" si="287"/>
        <v>2.3804702395163404</v>
      </c>
      <c r="L215" s="80">
        <v>2.0158235485432066</v>
      </c>
      <c r="M215" s="80">
        <v>1.9328282866598756</v>
      </c>
      <c r="N215" s="144"/>
      <c r="P215" s="160"/>
      <c r="Q215" s="161">
        <f>SUM(Q211:Q213)</f>
        <v>15907.396697275617</v>
      </c>
      <c r="R215" s="594">
        <f>Q215/$E$6</f>
        <v>2.1377190158287611</v>
      </c>
      <c r="S215" s="594">
        <f>Q215/($E$7/100)</f>
        <v>2.0497050873875029</v>
      </c>
      <c r="T215" s="160"/>
      <c r="V215" s="160"/>
      <c r="W215" s="161">
        <f>SUM(W211:W213)</f>
        <v>16692.612874673054</v>
      </c>
      <c r="X215" s="594">
        <f>W215/$E$6</f>
        <v>2.2432404651207345</v>
      </c>
      <c r="Y215" s="594">
        <f>W215/($E$7/100)</f>
        <v>2.1508820193606737</v>
      </c>
      <c r="Z215" s="160"/>
      <c r="AB215"/>
      <c r="AD215" s="160"/>
      <c r="AE215" s="594">
        <f>SUM(AE211:AE214)</f>
        <v>17701.890842115361</v>
      </c>
      <c r="AF215" s="594">
        <f>AE215/$AB$6</f>
        <v>2.3804702395163404</v>
      </c>
      <c r="AG215" s="594">
        <f>AE215/($AB$7/100)</f>
        <v>2.2123353694787022</v>
      </c>
      <c r="AH215" s="160"/>
      <c r="AJ215" s="160"/>
      <c r="AK215" s="161">
        <f>SUM(AK211:AK214)</f>
        <v>18346.843454192433</v>
      </c>
      <c r="AL215" s="594">
        <f>AK215/$AB$6</f>
        <v>2.467200550568486</v>
      </c>
      <c r="AM215" s="594">
        <f>AK215/($AB$7/100)</f>
        <v>2.2929398364287015</v>
      </c>
      <c r="AN215" s="160"/>
      <c r="AP215" s="160"/>
      <c r="AQ215" s="161">
        <f>SUM(AQ211:AQ214)</f>
        <v>0</v>
      </c>
      <c r="AR215" s="594">
        <f>AQ215/$AB$6</f>
        <v>0</v>
      </c>
      <c r="AS215" s="594">
        <f>AQ215/($AB$7/100)</f>
        <v>0</v>
      </c>
      <c r="AT215" s="160"/>
    </row>
    <row r="216" spans="1:46" ht="15.75" hidden="1">
      <c r="A216" s="21"/>
      <c r="B216" s="28"/>
      <c r="C216" s="28"/>
      <c r="D216" s="28"/>
      <c r="E216" s="137"/>
      <c r="F216" s="137"/>
      <c r="G216" s="28"/>
      <c r="H216" s="91"/>
      <c r="J216" s="184"/>
      <c r="L216" s="28"/>
      <c r="M216" s="28"/>
      <c r="N216" s="147"/>
      <c r="AB216"/>
    </row>
    <row r="217" spans="1:46" ht="15" hidden="1">
      <c r="B217" s="17">
        <v>23</v>
      </c>
      <c r="C217" s="18" t="s">
        <v>291</v>
      </c>
      <c r="D217" s="18" t="s">
        <v>65</v>
      </c>
      <c r="E217" s="18" t="s">
        <v>4</v>
      </c>
      <c r="F217" s="18" t="s">
        <v>70</v>
      </c>
      <c r="G217" s="68" t="s">
        <v>67</v>
      </c>
      <c r="H217" s="92"/>
      <c r="J217" s="186" t="s">
        <v>88</v>
      </c>
      <c r="L217" s="69" t="s">
        <v>213</v>
      </c>
      <c r="M217" s="69" t="s">
        <v>214</v>
      </c>
      <c r="N217" s="141" t="s">
        <v>85</v>
      </c>
      <c r="Q217" s="69" t="s">
        <v>67</v>
      </c>
      <c r="R217" s="69" t="s">
        <v>213</v>
      </c>
      <c r="S217" s="69" t="s">
        <v>214</v>
      </c>
      <c r="T217" s="141" t="s">
        <v>85</v>
      </c>
      <c r="W217" s="69" t="s">
        <v>67</v>
      </c>
      <c r="X217" s="69" t="s">
        <v>213</v>
      </c>
      <c r="Y217" s="69" t="s">
        <v>214</v>
      </c>
      <c r="Z217" s="141" t="s">
        <v>85</v>
      </c>
      <c r="AB217"/>
      <c r="AE217" s="69" t="s">
        <v>67</v>
      </c>
      <c r="AF217" s="69" t="s">
        <v>213</v>
      </c>
      <c r="AG217" s="69" t="s">
        <v>214</v>
      </c>
      <c r="AH217" s="141" t="s">
        <v>85</v>
      </c>
      <c r="AK217" s="69" t="s">
        <v>67</v>
      </c>
      <c r="AL217" s="69" t="s">
        <v>213</v>
      </c>
      <c r="AM217" s="69" t="s">
        <v>214</v>
      </c>
      <c r="AN217" s="141" t="s">
        <v>85</v>
      </c>
      <c r="AQ217" s="69" t="s">
        <v>67</v>
      </c>
      <c r="AR217" s="69" t="s">
        <v>213</v>
      </c>
      <c r="AS217" s="69" t="s">
        <v>214</v>
      </c>
      <c r="AT217" s="141" t="s">
        <v>85</v>
      </c>
    </row>
    <row r="218" spans="1:46" ht="15.75" hidden="1">
      <c r="A218" s="21"/>
      <c r="B218" s="22"/>
      <c r="C218" s="30" t="s">
        <v>21</v>
      </c>
      <c r="D218" s="30">
        <v>3449.9286638663684</v>
      </c>
      <c r="E218" s="135"/>
      <c r="F218" s="87">
        <v>19.75215682282553</v>
      </c>
      <c r="G218" s="72">
        <v>68143.531996249454</v>
      </c>
      <c r="H218" s="83"/>
      <c r="J218" s="188">
        <f t="shared" ref="J218:J220" si="295">IF($D$2=$L$2,L218,IF($D$2=$M$2,M218,IF($D$2=$N$2,N218,IF($D$2=$R$2,R218,IF($D$2=$S$2,S218,IF($D$2=$T$2,T218,IF($D$2=$X$2,X218,IF($D$2=$Y$2,Y218,IF($D$2=$Z$2,Z218,IF($D$2=$AF$2,AF218,IF($D$2=$AG$2,AG218,IF($D$2=$AH$2,AH218,IF($D$2=$AL$2,AL218,IF($D$2=$AM$2,AM218,IF($D$2=$AN$2,AN218,IF($D$2=$AR$2,AR218,IF($D$2=$AS$2,AS218,IF($D$2=$AT$2,AT218))))))))))))))))))</f>
        <v>10.668851934677564</v>
      </c>
      <c r="L218" s="75">
        <v>9.1574835861776549</v>
      </c>
      <c r="M218" s="75">
        <v>8.780452695266403</v>
      </c>
      <c r="N218" s="143"/>
      <c r="P218" s="157" t="s">
        <v>296</v>
      </c>
      <c r="Q218" s="140">
        <f>G218*P211</f>
        <v>72264.124635011831</v>
      </c>
      <c r="R218" s="579">
        <f>Q218/$E$6</f>
        <v>9.7112303373273861</v>
      </c>
      <c r="S218" s="579">
        <f>Q218/($E$7/100)</f>
        <v>9.3114006470559794</v>
      </c>
      <c r="V218" s="157" t="s">
        <v>295</v>
      </c>
      <c r="W218" s="140">
        <f>G218*V211</f>
        <v>75831.204829761351</v>
      </c>
      <c r="X218" s="579">
        <f>W218/$E$6</f>
        <v>10.190593196531632</v>
      </c>
      <c r="Y218" s="579">
        <f>W218/($E$7/100)</f>
        <v>9.7710272321872527</v>
      </c>
      <c r="AB218"/>
      <c r="AD218" s="157" t="s">
        <v>298</v>
      </c>
      <c r="AE218" s="579">
        <f>W218*AD211</f>
        <v>79336.783641842776</v>
      </c>
      <c r="AF218" s="579">
        <f t="shared" ref="AF218" si="296">AE218/$AB$6</f>
        <v>10.668851934677564</v>
      </c>
      <c r="AG218" s="579">
        <f t="shared" ref="AG218" si="297">AE218/($AB$7/100)</f>
        <v>9.9153008069590864</v>
      </c>
      <c r="AJ218" s="157">
        <f>13.37/12.9</f>
        <v>1.0364341085271318</v>
      </c>
      <c r="AK218" s="140">
        <f>AE218*AJ218</f>
        <v>82227.348627243249</v>
      </c>
      <c r="AL218" s="579">
        <f t="shared" ref="AL218" si="298">AK218/$AB$6</f>
        <v>11.057562043925508</v>
      </c>
      <c r="AM218" s="579">
        <f t="shared" ref="AM218" si="299">AK218/($AB$7/100)</f>
        <v>10.27655595263899</v>
      </c>
      <c r="AP218" s="157" t="s">
        <v>297</v>
      </c>
      <c r="AQ218" s="140">
        <f>AK218*AP211</f>
        <v>0</v>
      </c>
      <c r="AR218" s="579">
        <f t="shared" ref="AR218" si="300">AQ218/$AB$6</f>
        <v>0</v>
      </c>
      <c r="AS218" s="579">
        <f t="shared" ref="AS218" si="301">AQ218/($AB$7/100)</f>
        <v>0</v>
      </c>
    </row>
    <row r="219" spans="1:46" ht="15.75" hidden="1">
      <c r="A219" s="21"/>
      <c r="B219" s="24"/>
      <c r="C219" s="25"/>
      <c r="D219" s="25"/>
      <c r="E219" s="613"/>
      <c r="F219" s="88"/>
      <c r="G219" s="74"/>
      <c r="H219" s="83"/>
      <c r="J219" s="188"/>
      <c r="L219" s="75"/>
      <c r="M219" s="75"/>
      <c r="N219" s="143"/>
      <c r="Q219" s="140"/>
      <c r="R219" s="579"/>
      <c r="S219" s="579"/>
      <c r="W219" s="140"/>
      <c r="X219" s="579"/>
      <c r="Y219" s="579"/>
      <c r="AB219" s="156" t="s">
        <v>376</v>
      </c>
      <c r="AC219" s="140"/>
      <c r="AE219" s="614">
        <v>978.97</v>
      </c>
      <c r="AF219" s="579"/>
      <c r="AG219" s="579"/>
      <c r="AJ219" s="157">
        <f>13.37/12.9</f>
        <v>1.0364341085271318</v>
      </c>
      <c r="AK219" s="140">
        <f>AE219*AJ219</f>
        <v>1014.6378992248062</v>
      </c>
      <c r="AL219" s="579"/>
      <c r="AM219" s="579"/>
      <c r="AQ219" s="140"/>
      <c r="AR219" s="579"/>
      <c r="AS219" s="579"/>
    </row>
    <row r="220" spans="1:46" ht="15.75" hidden="1">
      <c r="B220" s="26"/>
      <c r="C220" s="27" t="s">
        <v>6</v>
      </c>
      <c r="D220" s="27"/>
      <c r="E220" s="136"/>
      <c r="F220" s="136"/>
      <c r="G220" s="78">
        <v>68143.531996249454</v>
      </c>
      <c r="H220" s="90"/>
      <c r="J220" s="189">
        <f t="shared" si="295"/>
        <v>10.800499393763401</v>
      </c>
      <c r="L220" s="80">
        <v>9.1574835861776549</v>
      </c>
      <c r="M220" s="80">
        <v>8.780452695266403</v>
      </c>
      <c r="N220" s="144"/>
      <c r="P220" s="160"/>
      <c r="Q220" s="161">
        <f>Q218</f>
        <v>72264.124635011831</v>
      </c>
      <c r="R220" s="594">
        <f>Q220/$E$6</f>
        <v>9.7112303373273861</v>
      </c>
      <c r="S220" s="594">
        <f>Q220/($E$7/100)</f>
        <v>9.3114006470559794</v>
      </c>
      <c r="T220" s="160"/>
      <c r="V220" s="160"/>
      <c r="W220" s="161">
        <f>W218</f>
        <v>75831.204829761351</v>
      </c>
      <c r="X220" s="594">
        <f>W220/$E$6</f>
        <v>10.190593196531632</v>
      </c>
      <c r="Y220" s="594">
        <f>W220/($E$7/100)</f>
        <v>9.7710272321872527</v>
      </c>
      <c r="Z220" s="160"/>
      <c r="AB220"/>
      <c r="AD220" s="160"/>
      <c r="AE220" s="594">
        <f>SUM(AE218:AE219)</f>
        <v>80315.753641842777</v>
      </c>
      <c r="AF220" s="594">
        <f>AE220/$AB$6</f>
        <v>10.800499393763401</v>
      </c>
      <c r="AG220" s="594">
        <f>AE220/($AB$7/100)</f>
        <v>10.037649881189381</v>
      </c>
      <c r="AH220" s="160"/>
      <c r="AJ220" s="160"/>
      <c r="AK220" s="161">
        <f>SUM(AK218:AK219)</f>
        <v>83241.986526468056</v>
      </c>
      <c r="AL220" s="594">
        <f>AK220/$AB$6</f>
        <v>11.194005960822997</v>
      </c>
      <c r="AM220" s="594">
        <f>AK220/($AB$7/100)</f>
        <v>10.403362706317987</v>
      </c>
      <c r="AN220" s="160"/>
      <c r="AP220" s="160"/>
      <c r="AQ220" s="161">
        <f>SUM(AQ218:AQ219)</f>
        <v>0</v>
      </c>
      <c r="AR220" s="594">
        <f>AQ220/$AB$6</f>
        <v>0</v>
      </c>
      <c r="AS220" s="594">
        <f>AQ220/($AB$7/100)</f>
        <v>0</v>
      </c>
      <c r="AT220" s="160"/>
    </row>
    <row r="221" spans="1:46" ht="15.75" hidden="1">
      <c r="A221" s="21"/>
      <c r="B221" s="28"/>
      <c r="C221" s="28"/>
      <c r="D221" s="28"/>
      <c r="E221" s="137"/>
      <c r="F221" s="137"/>
      <c r="G221" s="28"/>
      <c r="H221" s="91"/>
      <c r="J221" s="184"/>
      <c r="L221" s="28"/>
      <c r="M221" s="28"/>
      <c r="N221" s="147"/>
      <c r="AB221"/>
    </row>
    <row r="222" spans="1:46" ht="15" hidden="1">
      <c r="B222" s="17">
        <v>24</v>
      </c>
      <c r="C222" s="18" t="s">
        <v>62</v>
      </c>
      <c r="D222" s="18" t="s">
        <v>74</v>
      </c>
      <c r="E222" s="18"/>
      <c r="F222" s="18" t="s">
        <v>71</v>
      </c>
      <c r="G222" s="68" t="s">
        <v>67</v>
      </c>
      <c r="H222" s="92"/>
      <c r="J222" s="186" t="s">
        <v>88</v>
      </c>
      <c r="L222" s="69" t="s">
        <v>213</v>
      </c>
      <c r="M222" s="69" t="s">
        <v>214</v>
      </c>
      <c r="N222" s="141" t="s">
        <v>85</v>
      </c>
      <c r="Q222" s="69" t="s">
        <v>67</v>
      </c>
      <c r="R222" s="69" t="s">
        <v>213</v>
      </c>
      <c r="S222" s="69" t="s">
        <v>214</v>
      </c>
      <c r="T222" s="141" t="s">
        <v>85</v>
      </c>
      <c r="W222" s="69" t="s">
        <v>67</v>
      </c>
      <c r="X222" s="69" t="s">
        <v>213</v>
      </c>
      <c r="Y222" s="69" t="s">
        <v>214</v>
      </c>
      <c r="Z222" s="141" t="s">
        <v>85</v>
      </c>
      <c r="AB222"/>
      <c r="AE222" s="69" t="s">
        <v>67</v>
      </c>
      <c r="AF222" s="69" t="s">
        <v>213</v>
      </c>
      <c r="AG222" s="69" t="s">
        <v>214</v>
      </c>
      <c r="AH222" s="141" t="s">
        <v>85</v>
      </c>
      <c r="AK222" s="69" t="s">
        <v>67</v>
      </c>
      <c r="AL222" s="69" t="s">
        <v>213</v>
      </c>
      <c r="AM222" s="69" t="s">
        <v>214</v>
      </c>
      <c r="AN222" s="141" t="s">
        <v>85</v>
      </c>
      <c r="AQ222" s="69" t="s">
        <v>67</v>
      </c>
      <c r="AR222" s="69" t="s">
        <v>213</v>
      </c>
      <c r="AS222" s="69" t="s">
        <v>214</v>
      </c>
      <c r="AT222" s="141" t="s">
        <v>85</v>
      </c>
    </row>
    <row r="223" spans="1:46" ht="15.75" hidden="1">
      <c r="B223" s="22"/>
      <c r="C223" s="30" t="s">
        <v>63</v>
      </c>
      <c r="D223" s="30">
        <v>1297673.2181436257</v>
      </c>
      <c r="E223" s="81"/>
      <c r="F223" s="138">
        <v>2.5100000000000004E-2</v>
      </c>
      <c r="G223" s="93">
        <v>32571.597775405007</v>
      </c>
      <c r="H223" s="83"/>
      <c r="J223" s="188">
        <f t="shared" ref="J223:J224" si="302">IF($D$2=$L$2,L223,IF($D$2=$M$2,M223,IF($D$2=$N$2,N223,IF($D$2=$R$2,R223,IF($D$2=$S$2,S223,IF($D$2=$T$2,T223,IF($D$2=$X$2,X223,IF($D$2=$Y$2,Y223,IF($D$2=$Z$2,Z223,IF($D$2=$AF$2,AF223,IF($D$2=$AG$2,AG223,IF($D$2=$AH$2,AH223,IF($D$2=$AL$2,AL223,IF($D$2=$AM$2,AM223,IF($D$2=$AN$2,AN223,IF($D$2=$AR$2,AR223,IF($D$2=$AS$2,AS223,IF($D$2=$AT$2,AT223))))))))))))))))))</f>
        <v>2.6350289248643475</v>
      </c>
      <c r="L223" s="75">
        <v>4.3771413554006653</v>
      </c>
      <c r="M223" s="75">
        <v>4.1969261806377878</v>
      </c>
      <c r="N223" s="143"/>
      <c r="P223" s="593">
        <v>2.9100000000000001E-2</v>
      </c>
      <c r="Q223" s="140">
        <f>$D223*P223</f>
        <v>37762.290647979506</v>
      </c>
      <c r="R223" s="579">
        <f>Q223/$E$6</f>
        <v>5.0746937626358308</v>
      </c>
      <c r="S223" s="579">
        <f>Q223/($E$7/100)</f>
        <v>4.8657590381099443</v>
      </c>
      <c r="V223" s="593">
        <v>2.2800000000000001E-2</v>
      </c>
      <c r="W223" s="140">
        <f>$D223*V223</f>
        <v>29586.949373674666</v>
      </c>
      <c r="X223" s="579">
        <f>W223/$E$6</f>
        <v>3.9760487212404447</v>
      </c>
      <c r="Y223" s="579">
        <f>W223/($E$7/100)</f>
        <v>3.8123472875912969</v>
      </c>
      <c r="AB223"/>
      <c r="AD223" s="593">
        <v>1.5100000000000001E-2</v>
      </c>
      <c r="AE223" s="579">
        <f>$D223*AD223</f>
        <v>19594.865593968749</v>
      </c>
      <c r="AF223" s="579">
        <f t="shared" ref="AF223" si="303">AE223/$AB$6</f>
        <v>2.6350289248643475</v>
      </c>
      <c r="AG223" s="579">
        <f t="shared" ref="AG223" si="304">AE223/($AB$7/100)</f>
        <v>2.4489143335231427</v>
      </c>
      <c r="AJ223" s="593"/>
      <c r="AK223" s="140">
        <v>25304.63</v>
      </c>
      <c r="AL223" s="579">
        <f t="shared" ref="AL223" si="305">AK223/$AB$6</f>
        <v>3.4028522248967903</v>
      </c>
      <c r="AM223" s="579">
        <f t="shared" ref="AM223" si="306">AK223/($AB$7/100)</f>
        <v>3.1625055458698115</v>
      </c>
      <c r="AP223" s="593"/>
      <c r="AQ223" s="140">
        <f>$D223*AP223</f>
        <v>0</v>
      </c>
      <c r="AR223" s="579">
        <f t="shared" ref="AR223" si="307">AQ223/$AB$6</f>
        <v>0</v>
      </c>
      <c r="AS223" s="579">
        <f t="shared" ref="AS223" si="308">AQ223/($AB$7/100)</f>
        <v>0</v>
      </c>
    </row>
    <row r="224" spans="1:46" ht="15.75" hidden="1">
      <c r="B224" s="26"/>
      <c r="C224" s="27" t="s">
        <v>6</v>
      </c>
      <c r="D224" s="27"/>
      <c r="E224" s="136"/>
      <c r="F224" s="136"/>
      <c r="G224" s="78">
        <v>32571.597775405007</v>
      </c>
      <c r="H224" s="90"/>
      <c r="J224" s="189">
        <f t="shared" si="302"/>
        <v>2.6350289248643475</v>
      </c>
      <c r="L224" s="80">
        <v>4.3771413554006653</v>
      </c>
      <c r="M224" s="80">
        <v>4.1969261806377878</v>
      </c>
      <c r="N224" s="144"/>
      <c r="P224" s="160"/>
      <c r="Q224" s="161">
        <f>Q223</f>
        <v>37762.290647979506</v>
      </c>
      <c r="R224" s="594">
        <f>Q224/$E$6</f>
        <v>5.0746937626358308</v>
      </c>
      <c r="S224" s="594">
        <f>Q224/($E$7/100)</f>
        <v>4.8657590381099443</v>
      </c>
      <c r="T224" s="160"/>
      <c r="V224" s="160"/>
      <c r="W224" s="161">
        <f>W223</f>
        <v>29586.949373674666</v>
      </c>
      <c r="X224" s="594">
        <f>W224/$E$6</f>
        <v>3.9760487212404447</v>
      </c>
      <c r="Y224" s="594">
        <f>W224/($E$7/100)</f>
        <v>3.8123472875912969</v>
      </c>
      <c r="Z224" s="160"/>
      <c r="AB224"/>
      <c r="AD224" s="160"/>
      <c r="AE224" s="594">
        <f>AE223</f>
        <v>19594.865593968749</v>
      </c>
      <c r="AF224" s="594">
        <f>AE224/$AB$6</f>
        <v>2.6350289248643475</v>
      </c>
      <c r="AG224" s="594">
        <f>AE224/($AB$7/100)</f>
        <v>2.4489143335231427</v>
      </c>
      <c r="AH224" s="160"/>
      <c r="AJ224" s="160"/>
      <c r="AK224" s="161">
        <f>AK223</f>
        <v>25304.63</v>
      </c>
      <c r="AL224" s="594">
        <f>AK224/$AB$6</f>
        <v>3.4028522248967903</v>
      </c>
      <c r="AM224" s="594">
        <f>AK224/($AB$7/100)</f>
        <v>3.1625055458698115</v>
      </c>
      <c r="AN224" s="160"/>
      <c r="AP224" s="160"/>
      <c r="AQ224" s="161">
        <f>AQ223</f>
        <v>0</v>
      </c>
      <c r="AR224" s="594">
        <f>AQ224/$AB$6</f>
        <v>0</v>
      </c>
      <c r="AS224" s="594">
        <f>AQ224/($AB$7/100)</f>
        <v>0</v>
      </c>
      <c r="AT224" s="160"/>
    </row>
    <row r="225" spans="1:46" ht="15.75" hidden="1">
      <c r="B225" s="28"/>
      <c r="C225" s="28"/>
      <c r="D225" s="28"/>
      <c r="E225" s="139"/>
      <c r="F225" s="139"/>
      <c r="G225" s="28"/>
      <c r="H225" s="91"/>
      <c r="J225" s="184"/>
      <c r="L225" s="28"/>
      <c r="M225" s="28"/>
      <c r="N225" s="147"/>
      <c r="AB225"/>
    </row>
    <row r="226" spans="1:46" ht="15" hidden="1">
      <c r="B226" s="17">
        <v>26</v>
      </c>
      <c r="C226" s="18" t="s">
        <v>64</v>
      </c>
      <c r="D226" s="18" t="s">
        <v>65</v>
      </c>
      <c r="E226" s="18"/>
      <c r="F226" s="18" t="s">
        <v>72</v>
      </c>
      <c r="G226" s="68" t="s">
        <v>67</v>
      </c>
      <c r="H226" s="92"/>
      <c r="J226" s="186" t="s">
        <v>88</v>
      </c>
      <c r="L226" s="69" t="s">
        <v>213</v>
      </c>
      <c r="M226" s="69" t="s">
        <v>214</v>
      </c>
      <c r="N226" s="141" t="s">
        <v>85</v>
      </c>
      <c r="Q226" s="69" t="s">
        <v>67</v>
      </c>
      <c r="R226" s="69" t="s">
        <v>213</v>
      </c>
      <c r="S226" s="69" t="s">
        <v>214</v>
      </c>
      <c r="T226" s="141" t="s">
        <v>85</v>
      </c>
      <c r="W226" s="69" t="s">
        <v>67</v>
      </c>
      <c r="X226" s="69" t="s">
        <v>213</v>
      </c>
      <c r="Y226" s="69" t="s">
        <v>214</v>
      </c>
      <c r="Z226" s="141" t="s">
        <v>85</v>
      </c>
      <c r="AB226"/>
      <c r="AE226" s="69" t="s">
        <v>67</v>
      </c>
      <c r="AF226" s="69" t="s">
        <v>213</v>
      </c>
      <c r="AG226" s="69" t="s">
        <v>214</v>
      </c>
      <c r="AH226" s="141" t="s">
        <v>85</v>
      </c>
      <c r="AK226" s="69" t="s">
        <v>67</v>
      </c>
      <c r="AL226" s="69" t="s">
        <v>213</v>
      </c>
      <c r="AM226" s="69" t="s">
        <v>214</v>
      </c>
      <c r="AN226" s="141" t="s">
        <v>85</v>
      </c>
      <c r="AQ226" s="69" t="s">
        <v>67</v>
      </c>
      <c r="AR226" s="69" t="s">
        <v>213</v>
      </c>
      <c r="AS226" s="69" t="s">
        <v>214</v>
      </c>
      <c r="AT226" s="141" t="s">
        <v>85</v>
      </c>
    </row>
    <row r="227" spans="1:46" ht="15.75" hidden="1">
      <c r="B227" s="22"/>
      <c r="C227" s="30" t="s">
        <v>343</v>
      </c>
      <c r="D227" s="30">
        <v>7441.2944729822502</v>
      </c>
      <c r="E227" s="107"/>
      <c r="F227" s="108">
        <v>104.29398009415289</v>
      </c>
      <c r="G227" s="72">
        <v>1466415.2860409548</v>
      </c>
      <c r="H227" s="83"/>
      <c r="J227" s="194">
        <f t="shared" ref="J227:J233" si="309">IF($D$2=$L$2,L227,IF($D$2=$M$2,M227,IF($D$2=$N$2,N227,IF($D$2=$R$2,R227,IF($D$2=$S$2,S227,IF($D$2=$T$2,T227,IF($D$2=$X$2,X227,IF($D$2=$Y$2,Y227,IF($D$2=$Z$2,Z227,IF($D$2=$AF$2,AF227,IF($D$2=$AG$2,AG227,IF($D$2=$AH$2,AH227,IF($D$2=$AL$2,AL227,IF($D$2=$AM$2,AM227,IF($D$2=$AN$2,AN227,IF($D$2=$AR$2,AR227,IF($D$2=$AS$2,AS227,IF($D$2=$AT$2,AT227))))))))))))))))))</f>
        <v>206.29044282775038</v>
      </c>
      <c r="L227" s="114">
        <v>197.06454184351867</v>
      </c>
      <c r="M227" s="114">
        <v>188.95102254762531</v>
      </c>
      <c r="N227" s="143"/>
      <c r="P227" s="162">
        <f>104*1.7209</f>
        <v>178.9736</v>
      </c>
      <c r="Q227" s="140">
        <f>$D227*P227</f>
        <v>1331795.260489736</v>
      </c>
      <c r="R227" s="579">
        <f>Q227/$E$6</f>
        <v>178.97359999999998</v>
      </c>
      <c r="S227" s="579">
        <f>Q227/($E$7/100)</f>
        <v>171.60491894012387</v>
      </c>
      <c r="V227" s="162">
        <f>104.3*1.9037</f>
        <v>198.55590999999998</v>
      </c>
      <c r="W227" s="140">
        <f>$D227*V227</f>
        <v>1477512.9956609609</v>
      </c>
      <c r="X227" s="579">
        <f>W227/$E$6</f>
        <v>198.55590999999998</v>
      </c>
      <c r="Y227" s="579">
        <f>W227/($E$7/100)</f>
        <v>190.38098826102024</v>
      </c>
      <c r="AB227" s="162">
        <v>7436.3</v>
      </c>
      <c r="AD227" s="162">
        <f>1534037.62/7436.3</f>
        <v>206.29044282775038</v>
      </c>
      <c r="AE227" s="579">
        <f>$AB227*AD227</f>
        <v>1534037.62</v>
      </c>
      <c r="AF227" s="579">
        <f t="shared" ref="AF227" si="310">AE227/$AB$6</f>
        <v>206.29044282775038</v>
      </c>
      <c r="AG227" s="579">
        <f t="shared" ref="AG227" si="311">AE227/($AB$7/100)</f>
        <v>191.71995325847192</v>
      </c>
      <c r="AJ227" s="162"/>
      <c r="AK227" s="140">
        <v>1943471.71</v>
      </c>
      <c r="AL227" s="579">
        <f t="shared" ref="AL227" si="312">AK227/$AB$6</f>
        <v>261.34928795234185</v>
      </c>
      <c r="AM227" s="579">
        <f t="shared" ref="AM227" si="313">AK227/($AB$7/100)</f>
        <v>242.88993994838435</v>
      </c>
      <c r="AP227" s="162"/>
      <c r="AQ227" s="140">
        <f>$D227*AP227</f>
        <v>0</v>
      </c>
      <c r="AR227" s="579">
        <f t="shared" ref="AR227" si="314">AQ227/$AB$6</f>
        <v>0</v>
      </c>
      <c r="AS227" s="579">
        <f t="shared" ref="AS227" si="315">AQ227/($AB$7/100)</f>
        <v>0</v>
      </c>
    </row>
    <row r="228" spans="1:46" ht="15.75" hidden="1">
      <c r="B228" s="26"/>
      <c r="C228" s="27" t="s">
        <v>6</v>
      </c>
      <c r="D228" s="27">
        <f>D227</f>
        <v>7441.2944729822502</v>
      </c>
      <c r="E228" s="136"/>
      <c r="F228" s="136"/>
      <c r="G228" s="78">
        <v>1466415.2860409548</v>
      </c>
      <c r="H228" s="90"/>
      <c r="J228" s="189">
        <f t="shared" si="309"/>
        <v>206.29044282775038</v>
      </c>
      <c r="L228" s="80">
        <v>197.06454184351867</v>
      </c>
      <c r="M228" s="80">
        <v>188.95102254762531</v>
      </c>
      <c r="N228" s="202">
        <f>G228/$N$6</f>
        <v>0.88719455225367139</v>
      </c>
      <c r="P228" s="160"/>
      <c r="Q228" s="161">
        <f>SUM(Q227:Q227)</f>
        <v>1331795.260489736</v>
      </c>
      <c r="R228" s="594">
        <f>Q228/$E$6</f>
        <v>178.97359999999998</v>
      </c>
      <c r="S228" s="594">
        <f>Q228/($E$7/100)</f>
        <v>171.60491894012387</v>
      </c>
      <c r="T228" s="160"/>
      <c r="V228" s="160"/>
      <c r="W228" s="161">
        <f>SUM(W227:W227)</f>
        <v>1477512.9956609609</v>
      </c>
      <c r="X228" s="594">
        <f>W228/$E$6</f>
        <v>198.55590999999998</v>
      </c>
      <c r="Y228" s="594">
        <f>W228/($E$7/100)</f>
        <v>190.38098826102024</v>
      </c>
      <c r="Z228" s="160"/>
      <c r="AB228"/>
      <c r="AD228" s="160"/>
      <c r="AE228" s="594">
        <f>SUM(AE227:AE227)</f>
        <v>1534037.62</v>
      </c>
      <c r="AF228" s="594">
        <f>AE228/$AB$6</f>
        <v>206.29044282775038</v>
      </c>
      <c r="AG228" s="594">
        <f>AE228/($AB$7/100)</f>
        <v>191.71995325847192</v>
      </c>
      <c r="AH228" s="160"/>
      <c r="AJ228" s="160"/>
      <c r="AK228" s="161">
        <f>SUM(AK227:AK227)</f>
        <v>1943471.71</v>
      </c>
      <c r="AL228" s="594">
        <f>AK228/$AB$6</f>
        <v>261.34928795234185</v>
      </c>
      <c r="AM228" s="594">
        <f>AK228/($AB$7/100)</f>
        <v>242.88993994838435</v>
      </c>
      <c r="AN228" s="160"/>
      <c r="AP228" s="160"/>
      <c r="AQ228" s="161">
        <f>SUM(AQ227:AQ227)</f>
        <v>0</v>
      </c>
      <c r="AR228" s="594">
        <f>AQ228/$AB$6</f>
        <v>0</v>
      </c>
      <c r="AS228" s="594">
        <f>AQ228/($AB$7/100)</f>
        <v>0</v>
      </c>
      <c r="AT228" s="160"/>
    </row>
    <row r="229" spans="1:46" ht="15.75" hidden="1">
      <c r="C229" s="41"/>
      <c r="D229" s="41"/>
      <c r="AB229"/>
    </row>
    <row r="230" spans="1:46" ht="15.75" hidden="1">
      <c r="C230" s="41" t="s">
        <v>355</v>
      </c>
      <c r="D230" s="41"/>
      <c r="J230" s="194">
        <f t="shared" si="309"/>
        <v>215.62974323738962</v>
      </c>
      <c r="L230" s="579">
        <f>L228+L169</f>
        <v>208.47449049436889</v>
      </c>
      <c r="M230" s="579">
        <f t="shared" ref="M230:N230" si="316">M228+M169</f>
        <v>199.89120206762229</v>
      </c>
      <c r="N230" s="345">
        <f t="shared" si="316"/>
        <v>0.93856271919953738</v>
      </c>
      <c r="R230" s="579">
        <f>R228+R169</f>
        <v>192.6313467473997</v>
      </c>
      <c r="S230" s="579">
        <f t="shared" ref="S230:T230" si="317">S228+S169</f>
        <v>184.70035046461837</v>
      </c>
      <c r="T230" s="345">
        <f t="shared" si="317"/>
        <v>0</v>
      </c>
      <c r="X230" s="579">
        <f>X228+X169</f>
        <v>210.01405214239472</v>
      </c>
      <c r="Y230" s="579">
        <f t="shared" ref="Y230:Z230" si="318">Y228+Y169</f>
        <v>201.3673770555132</v>
      </c>
      <c r="Z230" s="345">
        <f t="shared" si="318"/>
        <v>0</v>
      </c>
      <c r="AB230"/>
      <c r="AF230" s="579">
        <f>AF228+AF169</f>
        <v>215.62974323738962</v>
      </c>
      <c r="AG230" s="579">
        <f t="shared" ref="AG230:AH230" si="319">AG228+AG169</f>
        <v>200.39961002520798</v>
      </c>
      <c r="AH230" s="345">
        <f t="shared" si="319"/>
        <v>0</v>
      </c>
      <c r="AL230" s="579">
        <f>AL228+AL169</f>
        <v>271.1393379121883</v>
      </c>
      <c r="AM230" s="579">
        <f t="shared" ref="AM230" si="320">AM228+AM169</f>
        <v>251.98850939722249</v>
      </c>
      <c r="AN230" s="345">
        <f t="shared" ref="AN230" si="321">AN228+AN169</f>
        <v>0</v>
      </c>
      <c r="AR230" s="579">
        <f>AR228+AR169</f>
        <v>1.4300001344754782</v>
      </c>
      <c r="AS230" s="579">
        <f t="shared" ref="AS230" si="322">AS228+AS169</f>
        <v>1.328997869136219</v>
      </c>
      <c r="AT230" s="345">
        <f t="shared" ref="AT230" si="323">AT228+AT169</f>
        <v>0</v>
      </c>
    </row>
    <row r="231" spans="1:46" ht="15.75" hidden="1">
      <c r="C231" s="41" t="s">
        <v>15</v>
      </c>
      <c r="D231" s="41"/>
      <c r="J231" s="194">
        <f t="shared" si="309"/>
        <v>10.757876973355145</v>
      </c>
      <c r="L231" s="579">
        <f>L201+L191+L182</f>
        <v>10.947508507464795</v>
      </c>
      <c r="M231" s="579">
        <f t="shared" ref="M231:N231" si="324">M201+M191+M182</f>
        <v>10.496778910519836</v>
      </c>
      <c r="N231" s="345">
        <f t="shared" si="324"/>
        <v>1.2142196563267264E-2</v>
      </c>
      <c r="R231" s="579">
        <f>R201+R191+R182</f>
        <v>10.857894926665409</v>
      </c>
      <c r="S231" s="579">
        <f t="shared" ref="S231:T231" si="325">S201+S191+S182</f>
        <v>10.410854890055294</v>
      </c>
      <c r="T231" s="345">
        <f t="shared" si="325"/>
        <v>0</v>
      </c>
      <c r="X231" s="579">
        <f>X201+X191+X182</f>
        <v>11.185053987321734</v>
      </c>
      <c r="Y231" s="579">
        <f t="shared" ref="Y231:Z231" si="326">Y201+Y191+Y182</f>
        <v>10.724544194424515</v>
      </c>
      <c r="Z231" s="345">
        <f t="shared" si="326"/>
        <v>0</v>
      </c>
      <c r="AB231"/>
      <c r="AF231" s="579">
        <f>AF201+AF191+AF182</f>
        <v>10.757876973355145</v>
      </c>
      <c r="AG231" s="579">
        <f t="shared" ref="AG231:AH231" si="327">AG201+AG191+AG182</f>
        <v>9.9980379227466116</v>
      </c>
      <c r="AH231" s="345">
        <f t="shared" si="327"/>
        <v>0</v>
      </c>
      <c r="AL231" s="579">
        <f>AL201+AL191+AL182</f>
        <v>10.825000222490383</v>
      </c>
      <c r="AM231" s="579">
        <f t="shared" ref="AM231" si="328">AM201+AM191+AM182</f>
        <v>10.060420193153146</v>
      </c>
      <c r="AN231" s="345">
        <f t="shared" ref="AN231" si="329">AN201+AN191+AN182</f>
        <v>0</v>
      </c>
      <c r="AR231" s="579">
        <f>AR201+AR191+AR182</f>
        <v>1.0013902454304289</v>
      </c>
      <c r="AS231" s="579">
        <f t="shared" ref="AS231" si="330">AS201+AS191+AS182</f>
        <v>0.93066110293688009</v>
      </c>
      <c r="AT231" s="345">
        <f t="shared" ref="AT231" si="331">AT201+AT191+AT182</f>
        <v>0</v>
      </c>
    </row>
    <row r="232" spans="1:46" ht="15.75" hidden="1">
      <c r="C232" s="41"/>
      <c r="D232" s="41"/>
      <c r="AB232"/>
    </row>
    <row r="233" spans="1:46" ht="15.75" hidden="1">
      <c r="C233" s="41" t="s">
        <v>294</v>
      </c>
      <c r="D233" s="41"/>
      <c r="G233">
        <v>20084.067101409139</v>
      </c>
      <c r="J233" s="194">
        <f t="shared" si="309"/>
        <v>2.9455246497983478</v>
      </c>
      <c r="L233">
        <f>G233/E6</f>
        <v>2.6990017898539151</v>
      </c>
      <c r="M233">
        <f>G233/E7*100</f>
        <v>2.5878787897607824</v>
      </c>
      <c r="N233" s="140">
        <f>G233/N6</f>
        <v>1.2151042811053819E-2</v>
      </c>
      <c r="P233" s="160"/>
      <c r="Q233" s="161">
        <f>SUM(Q234:Q235)</f>
        <v>256310.41530219794</v>
      </c>
      <c r="R233" s="594">
        <f>Q233/$E$6</f>
        <v>34.444331726530415</v>
      </c>
      <c r="S233" s="594">
        <f>Q233/($E$7/100)</f>
        <v>33.026193549651957</v>
      </c>
      <c r="T233" s="160"/>
      <c r="V233" s="160"/>
      <c r="W233" s="161">
        <f>SUM(W234:W235)</f>
        <v>105250.70345556844</v>
      </c>
      <c r="X233" s="594">
        <f>W233/$E$6</f>
        <v>14.144139012064533</v>
      </c>
      <c r="Y233" s="594">
        <f>W233/($E$7/100)</f>
        <v>13.56179810119022</v>
      </c>
      <c r="Z233" s="160"/>
      <c r="AB233"/>
      <c r="AD233" s="160"/>
      <c r="AE233" s="594">
        <f>SUM(AE234:AE235)</f>
        <v>21903.804953295454</v>
      </c>
      <c r="AF233" s="594">
        <f>AE233/$AB$6</f>
        <v>2.9455246497983478</v>
      </c>
      <c r="AG233" s="594">
        <f>AE233/($AB$7/100)</f>
        <v>2.7374794510114357</v>
      </c>
      <c r="AH233" s="160"/>
      <c r="AJ233" s="160"/>
      <c r="AK233" s="161">
        <f>SUM(AK234:AK235)</f>
        <v>0</v>
      </c>
      <c r="AL233" s="594">
        <f>AK233/$AB$6</f>
        <v>0</v>
      </c>
      <c r="AM233" s="594">
        <f>AK233/($AB$7/100)</f>
        <v>0</v>
      </c>
      <c r="AN233" s="160"/>
      <c r="AP233" s="160"/>
      <c r="AQ233" s="161">
        <f>SUM(AQ234:AQ235)</f>
        <v>0</v>
      </c>
      <c r="AR233" s="594">
        <f>AQ233/$AB$6</f>
        <v>0</v>
      </c>
      <c r="AS233" s="594">
        <f>AQ233/($AB$7/100)</f>
        <v>0</v>
      </c>
      <c r="AT233" s="160"/>
    </row>
    <row r="234" spans="1:46" ht="15.75" hidden="1">
      <c r="C234" s="596" t="s">
        <v>366</v>
      </c>
      <c r="D234" s="41"/>
      <c r="J234" s="194"/>
      <c r="P234" s="162">
        <v>26.15</v>
      </c>
      <c r="Q234">
        <f>P234*D227</f>
        <v>194589.85046848582</v>
      </c>
      <c r="V234" s="162">
        <v>10.4</v>
      </c>
      <c r="W234">
        <f>V234*D227</f>
        <v>77389.462519015404</v>
      </c>
      <c r="AB234"/>
      <c r="AD234" s="162">
        <v>4.5600000000000002E-2</v>
      </c>
      <c r="AE234">
        <f>AD234*AB227</f>
        <v>339.09528</v>
      </c>
      <c r="AJ234" s="162"/>
      <c r="AK234">
        <f>AJ234*AB227</f>
        <v>0</v>
      </c>
      <c r="AP234" s="162"/>
    </row>
    <row r="235" spans="1:46" ht="15.75" hidden="1">
      <c r="C235" s="596" t="s">
        <v>367</v>
      </c>
      <c r="D235" s="41"/>
      <c r="J235" s="194"/>
      <c r="P235" s="162">
        <v>169.58</v>
      </c>
      <c r="Q235">
        <f>P235*E5</f>
        <v>61720.564833712117</v>
      </c>
      <c r="V235" s="162">
        <v>76.55</v>
      </c>
      <c r="W235">
        <f>V235*E5</f>
        <v>27861.240936553026</v>
      </c>
      <c r="AB235"/>
      <c r="AD235" s="162">
        <v>59.25</v>
      </c>
      <c r="AE235">
        <f>AD235*E5</f>
        <v>21564.709673295452</v>
      </c>
      <c r="AJ235" s="162"/>
      <c r="AK235">
        <f>AJ235*S5</f>
        <v>0</v>
      </c>
      <c r="AP235" s="162"/>
    </row>
    <row r="236" spans="1:46" ht="15.75" hidden="1">
      <c r="C236" s="41"/>
      <c r="D236" s="41"/>
      <c r="J236" s="194"/>
      <c r="AB236"/>
    </row>
    <row r="237" spans="1:46" ht="15.75" hidden="1">
      <c r="A237" s="21"/>
      <c r="C237" s="41"/>
      <c r="D237" s="41"/>
      <c r="J237" s="343"/>
      <c r="Q237" s="69" t="s">
        <v>67</v>
      </c>
      <c r="R237" s="69" t="s">
        <v>213</v>
      </c>
      <c r="S237" s="69" t="s">
        <v>214</v>
      </c>
      <c r="T237" s="141" t="s">
        <v>85</v>
      </c>
      <c r="W237" s="69" t="s">
        <v>67</v>
      </c>
      <c r="X237" s="69" t="s">
        <v>213</v>
      </c>
      <c r="Y237" s="69" t="s">
        <v>214</v>
      </c>
      <c r="Z237" s="141" t="s">
        <v>85</v>
      </c>
      <c r="AB237"/>
      <c r="AE237" s="69" t="s">
        <v>67</v>
      </c>
      <c r="AF237" s="69" t="s">
        <v>213</v>
      </c>
      <c r="AG237" s="69" t="s">
        <v>214</v>
      </c>
      <c r="AH237" s="141" t="s">
        <v>85</v>
      </c>
      <c r="AK237" s="69" t="s">
        <v>67</v>
      </c>
      <c r="AL237" s="69" t="s">
        <v>213</v>
      </c>
      <c r="AM237" s="69" t="s">
        <v>214</v>
      </c>
      <c r="AN237" s="141" t="s">
        <v>85</v>
      </c>
      <c r="AQ237" s="69" t="s">
        <v>67</v>
      </c>
      <c r="AR237" s="69" t="s">
        <v>213</v>
      </c>
      <c r="AS237" s="69" t="s">
        <v>214</v>
      </c>
      <c r="AT237" s="141" t="s">
        <v>85</v>
      </c>
    </row>
    <row r="238" spans="1:46" hidden="1">
      <c r="C238" s="56" t="s">
        <v>145</v>
      </c>
      <c r="E238" t="s">
        <v>7</v>
      </c>
      <c r="G238">
        <f>D207</f>
        <v>4104.1678588677732</v>
      </c>
      <c r="J238" s="344">
        <f>IF(OR($D$2=1,$D$2=4,$D$2=7,$D$2=10,$D$2=13,$D$2=16),L238,IF(OR($D$2=2,$D$2=5,$D$2=8,$D$2=11,$D$2=14,$D$2=17),M238,IF(OR($D$2=3,$D$2=6,$D$2=9,$D$2=12,$D$2=15,$D$2=18),N238)))</f>
        <v>0.55153950347874681</v>
      </c>
      <c r="L238">
        <f>G238/E6</f>
        <v>0.55153950347874681</v>
      </c>
      <c r="M238" s="347">
        <f>G238/$E$7*100</f>
        <v>0.52883158067305192</v>
      </c>
      <c r="N238" s="345">
        <f>G238/$G$243</f>
        <v>0.47647543955942495</v>
      </c>
      <c r="R238">
        <v>8.8603250994815919E-2</v>
      </c>
      <c r="S238">
        <v>134.25131326875521</v>
      </c>
      <c r="T238">
        <v>0.26644972704648257</v>
      </c>
      <c r="X238">
        <v>8.8603250994815919E-2</v>
      </c>
      <c r="Y238" s="347">
        <v>134.25131326875521</v>
      </c>
      <c r="Z238" s="345">
        <v>0.26644972704648257</v>
      </c>
      <c r="AB238"/>
      <c r="AF238">
        <v>8.8603250994815919E-2</v>
      </c>
      <c r="AG238">
        <v>134.25131326875521</v>
      </c>
      <c r="AH238">
        <v>0.26644972704648257</v>
      </c>
      <c r="AL238">
        <v>8.8603250994815919E-2</v>
      </c>
      <c r="AM238">
        <v>134.25131326875521</v>
      </c>
      <c r="AN238">
        <v>0.26644972704648257</v>
      </c>
      <c r="AR238">
        <v>8.8603250994815919E-2</v>
      </c>
      <c r="AS238">
        <v>134.25131326875521</v>
      </c>
      <c r="AT238">
        <v>0.26644972704648257</v>
      </c>
    </row>
    <row r="239" spans="1:46" hidden="1">
      <c r="E239" s="342" t="s">
        <v>146</v>
      </c>
      <c r="G239">
        <f>D211</f>
        <v>423.55559988070826</v>
      </c>
      <c r="J239" s="344">
        <f t="shared" ref="J239:J242" si="332">IF(OR($D$2=1,$D$2=4,$D$2=7,$D$2=10,$D$2=13,$D$2=16),L239,IF(OR($D$2=2,$D$2=5,$D$2=8,$D$2=11,$D$2=14,$D$2=17),M239,IF(OR($D$2=3,$D$2=6,$D$2=9,$D$2=12,$D$2=15,$D$2=18),N239)))</f>
        <v>5.691961276610516E-2</v>
      </c>
      <c r="L239">
        <f>G239/E6</f>
        <v>5.691961276610516E-2</v>
      </c>
      <c r="M239" s="347">
        <f>G239/$E$7*100</f>
        <v>5.4576124829755435E-2</v>
      </c>
      <c r="N239" s="345">
        <f>G239/$G$243</f>
        <v>4.9172901199682234E-2</v>
      </c>
      <c r="R239">
        <v>1.1152936070318512E-2</v>
      </c>
      <c r="S239">
        <v>16.898886862857161</v>
      </c>
      <c r="T239">
        <v>3.3539364959386288E-2</v>
      </c>
      <c r="X239">
        <v>1.1152936070318512E-2</v>
      </c>
      <c r="Y239" s="347">
        <v>16.898886862857161</v>
      </c>
      <c r="Z239" s="345">
        <v>3.3539364959386288E-2</v>
      </c>
      <c r="AB239"/>
      <c r="AF239">
        <v>1.1152936070318512E-2</v>
      </c>
      <c r="AG239">
        <v>16.898886862857161</v>
      </c>
      <c r="AH239">
        <v>3.3539364959386288E-2</v>
      </c>
      <c r="AL239">
        <v>1.1152936070318512E-2</v>
      </c>
      <c r="AM239">
        <v>16.898886862857161</v>
      </c>
      <c r="AN239">
        <v>3.3539364959386288E-2</v>
      </c>
      <c r="AR239">
        <v>1.1152936070318512E-2</v>
      </c>
      <c r="AS239">
        <v>16.898886862857161</v>
      </c>
      <c r="AT239">
        <v>3.3539364959386288E-2</v>
      </c>
    </row>
    <row r="240" spans="1:46" hidden="1">
      <c r="E240" s="342" t="s">
        <v>147</v>
      </c>
      <c r="G240">
        <f>D212</f>
        <v>431.18814060609623</v>
      </c>
      <c r="J240" s="344">
        <f t="shared" si="332"/>
        <v>5.794531343594158E-2</v>
      </c>
      <c r="L240">
        <f>G240/E6</f>
        <v>5.794531343594158E-2</v>
      </c>
      <c r="M240" s="347">
        <f>G240/$E$7*100</f>
        <v>5.5559595466229808E-2</v>
      </c>
      <c r="N240" s="345">
        <f>G240/$G$243</f>
        <v>5.0059004868475088E-2</v>
      </c>
      <c r="R240">
        <v>4.4251317531368789E-3</v>
      </c>
      <c r="S240">
        <v>6.7049430193103641</v>
      </c>
      <c r="T240">
        <v>1.3307357625478444E-2</v>
      </c>
      <c r="X240">
        <v>4.4251317531368789E-3</v>
      </c>
      <c r="Y240" s="347">
        <v>6.7049430193103641</v>
      </c>
      <c r="Z240" s="345">
        <v>1.3307357625478444E-2</v>
      </c>
      <c r="AB240"/>
      <c r="AF240">
        <v>4.4251317531368789E-3</v>
      </c>
      <c r="AG240">
        <v>6.7049430193103641</v>
      </c>
      <c r="AH240">
        <v>1.3307357625478444E-2</v>
      </c>
      <c r="AL240">
        <v>4.4251317531368789E-3</v>
      </c>
      <c r="AM240">
        <v>6.7049430193103641</v>
      </c>
      <c r="AN240">
        <v>1.3307357625478444E-2</v>
      </c>
      <c r="AR240">
        <v>4.4251317531368789E-3</v>
      </c>
      <c r="AS240">
        <v>6.7049430193103641</v>
      </c>
      <c r="AT240">
        <v>1.3307357625478444E-2</v>
      </c>
    </row>
    <row r="241" spans="2:46" hidden="1">
      <c r="E241" s="342" t="s">
        <v>148</v>
      </c>
      <c r="G241">
        <f>D213</f>
        <v>204.75766464435785</v>
      </c>
      <c r="J241" s="344">
        <f t="shared" si="332"/>
        <v>2.7516403951999099E-2</v>
      </c>
      <c r="L241">
        <f>G241/E6</f>
        <v>2.7516403951999099E-2</v>
      </c>
      <c r="M241" s="347">
        <f>G241/$E$7*100</f>
        <v>2.638350164329549E-2</v>
      </c>
      <c r="N241" s="345">
        <f>G241/$G$243</f>
        <v>2.377144444854563E-2</v>
      </c>
      <c r="R241">
        <v>3.8680454875829637E-3</v>
      </c>
      <c r="S241">
        <v>5.8608480011831459</v>
      </c>
      <c r="T241">
        <v>1.1632075040115186E-2</v>
      </c>
      <c r="X241">
        <v>3.8680454875829637E-3</v>
      </c>
      <c r="Y241" s="347">
        <v>5.8608480011831459</v>
      </c>
      <c r="Z241" s="345">
        <v>1.1632075040115186E-2</v>
      </c>
      <c r="AB241"/>
      <c r="AF241">
        <v>3.8680454875829637E-3</v>
      </c>
      <c r="AG241">
        <v>5.8608480011831459</v>
      </c>
      <c r="AH241">
        <v>1.1632075040115186E-2</v>
      </c>
      <c r="AL241">
        <v>3.8680454875829637E-3</v>
      </c>
      <c r="AM241">
        <v>5.8608480011831459</v>
      </c>
      <c r="AN241">
        <v>1.1632075040115186E-2</v>
      </c>
      <c r="AR241">
        <v>3.8680454875829637E-3</v>
      </c>
      <c r="AS241">
        <v>5.8608480011831459</v>
      </c>
      <c r="AT241">
        <v>1.1632075040115186E-2</v>
      </c>
    </row>
    <row r="242" spans="2:46" hidden="1">
      <c r="E242" s="342" t="s">
        <v>9</v>
      </c>
      <c r="G242">
        <f>D218</f>
        <v>3449.9286638663684</v>
      </c>
      <c r="J242" s="344">
        <f t="shared" si="332"/>
        <v>0.46361942487188512</v>
      </c>
      <c r="L242">
        <f>G242/E6</f>
        <v>0.46361942487188512</v>
      </c>
      <c r="M242" s="347">
        <f>G242/$E$7*100</f>
        <v>0.44453133771800263</v>
      </c>
      <c r="N242" s="345">
        <f>G242/$G$243</f>
        <v>0.40052120992387197</v>
      </c>
      <c r="R242">
        <v>8.1061311628194688E-2</v>
      </c>
      <c r="S242">
        <v>122.82379505476254</v>
      </c>
      <c r="T242">
        <v>0.43130204119540316</v>
      </c>
      <c r="X242">
        <v>8.1061311628194688E-2</v>
      </c>
      <c r="Y242" s="347">
        <v>122.82379505476254</v>
      </c>
      <c r="Z242" s="345">
        <v>0.43130204119540316</v>
      </c>
      <c r="AB242"/>
      <c r="AF242">
        <v>8.1061311628194688E-2</v>
      </c>
      <c r="AG242">
        <v>122.82379505476254</v>
      </c>
      <c r="AH242">
        <v>0.43130204119540316</v>
      </c>
      <c r="AL242">
        <v>8.1061311628194688E-2</v>
      </c>
      <c r="AM242">
        <v>122.82379505476254</v>
      </c>
      <c r="AN242">
        <v>0.43130204119540316</v>
      </c>
      <c r="AR242">
        <v>8.1061311628194688E-2</v>
      </c>
      <c r="AS242">
        <v>122.82379505476254</v>
      </c>
      <c r="AT242">
        <v>0.43130204119540316</v>
      </c>
    </row>
    <row r="243" spans="2:46" hidden="1">
      <c r="B243"/>
      <c r="E243" s="342" t="s">
        <v>6</v>
      </c>
      <c r="G243">
        <f>SUM(G238:G242)</f>
        <v>8613.5979278653049</v>
      </c>
      <c r="AB243"/>
    </row>
    <row r="244" spans="2:46" ht="17.25" hidden="1" thickBot="1">
      <c r="B244"/>
      <c r="E244" s="342"/>
      <c r="AB244"/>
    </row>
    <row r="245" spans="2:46" hidden="1">
      <c r="B245"/>
      <c r="D245" s="69" t="s">
        <v>67</v>
      </c>
      <c r="E245" s="69" t="s">
        <v>213</v>
      </c>
      <c r="F245" s="69" t="s">
        <v>214</v>
      </c>
      <c r="G245" s="69" t="s">
        <v>85</v>
      </c>
      <c r="R245" s="598" t="s">
        <v>368</v>
      </c>
      <c r="S245" s="175"/>
      <c r="T245" s="599"/>
      <c r="X245" s="598" t="s">
        <v>368</v>
      </c>
      <c r="Y245" s="175"/>
      <c r="Z245" s="599"/>
      <c r="AB245"/>
      <c r="AF245" s="598" t="s">
        <v>368</v>
      </c>
      <c r="AG245" s="175"/>
      <c r="AH245" s="599"/>
      <c r="AL245" s="598" t="s">
        <v>368</v>
      </c>
      <c r="AM245" s="175"/>
      <c r="AN245" s="599"/>
    </row>
    <row r="246" spans="2:46" hidden="1">
      <c r="B246"/>
      <c r="C246" s="364" t="s">
        <v>143</v>
      </c>
      <c r="D246" s="364">
        <v>2025846.9421680635</v>
      </c>
      <c r="E246" s="365">
        <f t="shared" ref="E246:E254" si="333">D246/$E$6</f>
        <v>272.24388841531277</v>
      </c>
      <c r="F246" s="365">
        <f t="shared" ref="F246:F254" si="334">D246/$E$7*100</f>
        <v>261.03509346324756</v>
      </c>
      <c r="G246" s="345">
        <f>SUM(G247:G248)</f>
        <v>0.99999999999999989</v>
      </c>
      <c r="J246" s="367">
        <f>IF(OR($D$2=1,$D$2=4,$D$2=7,$D$2=10,$D$2=13,$D$2=16),E246,IF(OR($D$2=2,$D$2=5,$D$2=8,$D$2=11,$D$2=14,$D$2=17),F246,IF(OR($D$2=3,$D$2=6,$D$2=9,$D$2=12,$D$2=15,$D$2=18),G246)))</f>
        <v>272.24388841531277</v>
      </c>
      <c r="R246" s="176" t="s">
        <v>369</v>
      </c>
      <c r="S246" s="664">
        <f>Q21+Q37+Q42+Q51+Q60+Q66+Q70+Q75+Q80+Q88+Q94+Q115+Q215+Q220</f>
        <v>1422606.8474172952</v>
      </c>
      <c r="T246" s="665"/>
      <c r="X246" s="176" t="s">
        <v>369</v>
      </c>
      <c r="Y246" s="664">
        <f>W21+W37+W42+W51+W60+W66+W70+W75+W80+W88+W94+W115+W215+W220</f>
        <v>1454702.0519621153</v>
      </c>
      <c r="Z246" s="665"/>
      <c r="AB246"/>
      <c r="AF246" s="176" t="s">
        <v>369</v>
      </c>
      <c r="AG246" s="667">
        <f>AE21+AE37+AE42+AE51+AE60+AE66+AE70+AE75+AE80+AE88+AE94+AE115+AE215+AE220</f>
        <v>1518417.0851810973</v>
      </c>
      <c r="AH246" s="668"/>
      <c r="AL246" s="176" t="s">
        <v>369</v>
      </c>
      <c r="AM246" s="597"/>
      <c r="AN246" s="623">
        <f>AK21+AK37+AK42+AK51+AK60+AK66+AK70+AK75+AK80+AK88+AK94+AK115+AK215+AK220</f>
        <v>1786759.9334229408</v>
      </c>
    </row>
    <row r="247" spans="2:46" hidden="1">
      <c r="B247"/>
      <c r="C247" s="359" t="s">
        <v>108</v>
      </c>
      <c r="D247" s="414">
        <v>640694.8491175602</v>
      </c>
      <c r="E247" s="346">
        <f t="shared" si="333"/>
        <v>86.099918696106741</v>
      </c>
      <c r="F247" s="346">
        <f t="shared" si="334"/>
        <v>82.555022464747069</v>
      </c>
      <c r="G247" s="345">
        <f>D247/D246</f>
        <v>0.31626024443479817</v>
      </c>
      <c r="J247" s="367">
        <f t="shared" ref="J247:J258" si="335">IF(OR($D$2=1,$D$2=4,$D$2=7,$D$2=10,$D$2=13,$D$2=16),E247,IF(OR($D$2=2,$D$2=5,$D$2=8,$D$2=11,$D$2=14,$D$2=17),F247,IF(OR($D$2=3,$D$2=6,$D$2=9,$D$2=12,$D$2=15,$D$2=18),G247)))</f>
        <v>86.099918696106741</v>
      </c>
      <c r="R247" s="176" t="s">
        <v>370</v>
      </c>
      <c r="S247" s="177"/>
      <c r="T247" s="600">
        <f>Q21+Q37+Q42+Q51+Q60+Q66+Q70+Q75+Q80+Q88+Q94+Q99+Q110+Q115+Q215+Q220</f>
        <v>1470965.7796360564</v>
      </c>
      <c r="X247" s="176" t="s">
        <v>370</v>
      </c>
      <c r="Y247" s="177"/>
      <c r="Z247" s="600">
        <f>W21+W37+W42+W51+W60+W66+W70+W75+W80+W88+W94+W99+W110+W115+W215+W220</f>
        <v>1488563.6705848339</v>
      </c>
      <c r="AB247"/>
      <c r="AF247" s="176" t="s">
        <v>370</v>
      </c>
      <c r="AG247" s="615"/>
      <c r="AH247" s="616">
        <f>AE21+AE37+AE42+AE51+AE60+AE66+AE70+AE75+AE80+AE88+AE94+AE99+AE110+AE115+AE215+AE220</f>
        <v>1579083.4908912454</v>
      </c>
      <c r="AL247" s="176" t="s">
        <v>370</v>
      </c>
      <c r="AM247" s="615"/>
      <c r="AN247" s="616">
        <f>AK21+AK37+AK42+AK51+AK60+AK66+AK70+AK75+AK80+AK88+AK94+AK99+AK110+AK115+AK215+AK220</f>
        <v>1842449.4691330888</v>
      </c>
    </row>
    <row r="248" spans="2:46" hidden="1">
      <c r="B248"/>
      <c r="C248" s="359" t="s">
        <v>112</v>
      </c>
      <c r="D248" s="56">
        <v>1385152.0930505032</v>
      </c>
      <c r="E248" s="346">
        <f t="shared" si="333"/>
        <v>186.14396971920604</v>
      </c>
      <c r="F248" s="346">
        <f t="shared" si="334"/>
        <v>178.48007099850051</v>
      </c>
      <c r="G248" s="345">
        <f>D248/D246</f>
        <v>0.68373975556520172</v>
      </c>
      <c r="J248" s="367">
        <f t="shared" si="335"/>
        <v>186.14396971920604</v>
      </c>
      <c r="R248" s="176" t="s">
        <v>371</v>
      </c>
      <c r="S248" s="177"/>
      <c r="T248" s="600">
        <f>Q120+Q126+Q131+Q136+Q147</f>
        <v>106613.19996869544</v>
      </c>
      <c r="X248" s="176" t="s">
        <v>371</v>
      </c>
      <c r="Y248" s="177"/>
      <c r="Z248" s="600">
        <f>W120+W126+W131+W136+W147</f>
        <v>114943.10790741941</v>
      </c>
      <c r="AB248"/>
      <c r="AF248" s="176" t="s">
        <v>371</v>
      </c>
      <c r="AG248" s="615"/>
      <c r="AH248" s="616">
        <f>AE120+AE126+AE131+AE136+AE147</f>
        <v>117044.82558105138</v>
      </c>
      <c r="AL248" s="176" t="s">
        <v>371</v>
      </c>
      <c r="AM248" s="615"/>
      <c r="AN248" s="616">
        <f>AK120+AK126+AK131+AK136+AK147</f>
        <v>119794.01469774496</v>
      </c>
    </row>
    <row r="249" spans="2:46" hidden="1">
      <c r="B249"/>
      <c r="C249" s="360" t="s">
        <v>292</v>
      </c>
      <c r="D249" s="362">
        <v>140445.2326865801</v>
      </c>
      <c r="E249" s="363">
        <f t="shared" si="333"/>
        <v>18.873763589991864</v>
      </c>
      <c r="F249" s="363">
        <f t="shared" si="334"/>
        <v>18.096695104504885</v>
      </c>
      <c r="G249" s="345">
        <f>D249/D246</f>
        <v>6.9326675062764354E-2</v>
      </c>
      <c r="J249" s="367">
        <f t="shared" si="335"/>
        <v>18.873763589991864</v>
      </c>
      <c r="R249" s="176" t="s">
        <v>372</v>
      </c>
      <c r="S249" s="177"/>
      <c r="T249" s="600">
        <f>Q202</f>
        <v>182428.10889083412</v>
      </c>
      <c r="X249" s="176" t="s">
        <v>372</v>
      </c>
      <c r="Y249" s="177"/>
      <c r="Z249" s="600">
        <f>W202</f>
        <v>168494.69021071214</v>
      </c>
      <c r="AB249"/>
      <c r="AF249" s="176" t="s">
        <v>372</v>
      </c>
      <c r="AG249" s="615"/>
      <c r="AH249" s="616">
        <f>AE202</f>
        <v>149448.64017316114</v>
      </c>
      <c r="AL249" s="176" t="s">
        <v>372</v>
      </c>
      <c r="AM249" s="615"/>
      <c r="AN249" s="616">
        <f>AK202</f>
        <v>153299.69767091124</v>
      </c>
    </row>
    <row r="250" spans="2:46" hidden="1">
      <c r="B250"/>
      <c r="C250" s="360" t="s">
        <v>109</v>
      </c>
      <c r="D250" s="362">
        <v>387346.78947729222</v>
      </c>
      <c r="E250" s="363">
        <f t="shared" si="333"/>
        <v>52.053683788978603</v>
      </c>
      <c r="F250" s="363">
        <f t="shared" si="334"/>
        <v>49.9105353367341</v>
      </c>
      <c r="G250" s="345">
        <f>D250/D246</f>
        <v>0.19120239610143167</v>
      </c>
      <c r="J250" s="367">
        <f t="shared" si="335"/>
        <v>52.053683788978603</v>
      </c>
      <c r="R250" s="176" t="s">
        <v>373</v>
      </c>
      <c r="S250" s="177"/>
      <c r="T250" s="600">
        <f>T247+T248-T249</f>
        <v>1395150.8707139178</v>
      </c>
      <c r="X250" s="176" t="s">
        <v>373</v>
      </c>
      <c r="Y250" s="177"/>
      <c r="Z250" s="600">
        <f>Z247+Z248-Z249</f>
        <v>1435012.0882815411</v>
      </c>
      <c r="AB250"/>
      <c r="AF250" s="176" t="s">
        <v>373</v>
      </c>
      <c r="AG250" s="615"/>
      <c r="AH250" s="616">
        <f>AH247+AH248-AH249</f>
        <v>1546679.6762991357</v>
      </c>
      <c r="AL250" s="176" t="s">
        <v>373</v>
      </c>
      <c r="AM250" s="615"/>
      <c r="AN250" s="616">
        <f>AN247+AN248-AN249</f>
        <v>1808943.7861599226</v>
      </c>
    </row>
    <row r="251" spans="2:46" hidden="1">
      <c r="B251"/>
      <c r="C251" s="360" t="s">
        <v>48</v>
      </c>
      <c r="D251" s="362">
        <v>421040.41517953598</v>
      </c>
      <c r="E251" s="363">
        <f t="shared" si="333"/>
        <v>56.581609114952208</v>
      </c>
      <c r="F251" s="363">
        <f t="shared" si="334"/>
        <v>54.252037427157681</v>
      </c>
      <c r="G251" s="345">
        <f>D251/D246</f>
        <v>0.20783426744418218</v>
      </c>
      <c r="J251" s="367">
        <f t="shared" si="335"/>
        <v>56.581609114952208</v>
      </c>
      <c r="R251" s="176" t="s">
        <v>374</v>
      </c>
      <c r="S251" s="177"/>
      <c r="T251" s="600">
        <f>Q208+Q224+Q154</f>
        <v>208574.39707931533</v>
      </c>
      <c r="X251" s="176" t="s">
        <v>374</v>
      </c>
      <c r="Y251" s="177"/>
      <c r="Z251" s="600">
        <f>W208+W224+W154</f>
        <v>205321.66871746146</v>
      </c>
      <c r="AB251"/>
      <c r="AF251" s="176" t="s">
        <v>374</v>
      </c>
      <c r="AG251" s="615"/>
      <c r="AH251" s="616">
        <f>AE208+AE224+AE154</f>
        <v>203474.21123755458</v>
      </c>
      <c r="AL251" s="176" t="s">
        <v>374</v>
      </c>
      <c r="AM251" s="615"/>
      <c r="AN251" s="622">
        <f>AK208+AK224+AK154</f>
        <v>213619.98918924943</v>
      </c>
    </row>
    <row r="252" spans="2:46" ht="17.25" hidden="1" thickBot="1">
      <c r="B252"/>
      <c r="C252" s="360" t="s">
        <v>59</v>
      </c>
      <c r="D252" s="362">
        <v>179648.51209188969</v>
      </c>
      <c r="E252" s="363">
        <f t="shared" si="333"/>
        <v>24.142104944798923</v>
      </c>
      <c r="F252" s="363">
        <f t="shared" si="334"/>
        <v>23.148128897760248</v>
      </c>
      <c r="G252" s="345">
        <f>D252/D246</f>
        <v>8.8678225562109678E-2</v>
      </c>
      <c r="J252" s="367">
        <f t="shared" si="335"/>
        <v>24.142104944798923</v>
      </c>
      <c r="R252" s="179" t="s">
        <v>375</v>
      </c>
      <c r="S252" s="180"/>
      <c r="T252" s="601">
        <f>T251+T250</f>
        <v>1603725.267793233</v>
      </c>
      <c r="X252" s="179" t="s">
        <v>375</v>
      </c>
      <c r="Y252" s="180"/>
      <c r="Z252" s="601">
        <f>Z250+Z251</f>
        <v>1640333.7569990025</v>
      </c>
      <c r="AB252"/>
      <c r="AF252" s="179" t="s">
        <v>375</v>
      </c>
      <c r="AG252" s="617"/>
      <c r="AH252" s="618">
        <f>AH250+AH251</f>
        <v>1750153.8875366903</v>
      </c>
      <c r="AL252" s="179" t="s">
        <v>375</v>
      </c>
      <c r="AM252" s="617"/>
      <c r="AN252" s="618">
        <f>AN250+AN251</f>
        <v>2022563.7753491721</v>
      </c>
    </row>
    <row r="253" spans="2:46" hidden="1">
      <c r="B253"/>
      <c r="C253" s="360" t="s">
        <v>110</v>
      </c>
      <c r="D253" s="362">
        <v>118635.247552749</v>
      </c>
      <c r="E253" s="363">
        <f t="shared" si="333"/>
        <v>15.942823924451348</v>
      </c>
      <c r="F253" s="363">
        <f t="shared" si="334"/>
        <v>15.286427759357476</v>
      </c>
      <c r="G253" s="345">
        <f>D253/D246</f>
        <v>5.8560814779909008E-2</v>
      </c>
      <c r="J253" s="367">
        <f t="shared" si="335"/>
        <v>15.942823924451348</v>
      </c>
      <c r="AB253"/>
    </row>
    <row r="254" spans="2:46" hidden="1">
      <c r="B254"/>
      <c r="C254" s="360" t="s">
        <v>111</v>
      </c>
      <c r="D254" s="362">
        <v>138035.89606245598</v>
      </c>
      <c r="E254" s="363">
        <f t="shared" si="333"/>
        <v>18.549984356033058</v>
      </c>
      <c r="F254" s="363">
        <f t="shared" si="334"/>
        <v>17.786246472986065</v>
      </c>
      <c r="G254" s="345">
        <f>D254/D246</f>
        <v>6.8137376614804776E-2</v>
      </c>
      <c r="J254" s="367">
        <f t="shared" si="335"/>
        <v>18.549984356033058</v>
      </c>
      <c r="Z254" s="602"/>
      <c r="AB254"/>
      <c r="AH254" s="140"/>
    </row>
    <row r="255" spans="2:46" hidden="1">
      <c r="B255"/>
      <c r="E255" s="346"/>
      <c r="F255" s="361"/>
      <c r="J255" s="367"/>
      <c r="AB255"/>
    </row>
    <row r="256" spans="2:46" hidden="1">
      <c r="B256"/>
      <c r="C256" s="364" t="s">
        <v>149</v>
      </c>
      <c r="D256" s="364">
        <v>943335.45505894709</v>
      </c>
      <c r="E256" s="365">
        <f>D256/$E$6</f>
        <v>126.77034331647491</v>
      </c>
      <c r="F256" s="366">
        <f>D256/$E$7*100</f>
        <v>121.5509689073436</v>
      </c>
      <c r="J256" s="367">
        <f>IF(OR($D$2=1,$D$2=4,$D$2=7,$D$2=10,$D$2=13,$D$2=16),E256,IF(OR($D$2=2,$D$2=5,$D$2=8,$D$2=11,$D$2=14,$D$2=17),F256,IF(OR($D$2=3,$D$2=6,$D$2=9,$D$2=12,$D$2=15,$D$2=18),G256)))</f>
        <v>126.77034331647491</v>
      </c>
      <c r="AB256"/>
    </row>
    <row r="257" spans="2:42" hidden="1">
      <c r="B257"/>
      <c r="C257" s="359" t="s">
        <v>108</v>
      </c>
      <c r="D257" s="56">
        <v>324538.96266972821</v>
      </c>
      <c r="E257" s="346">
        <f>D257/$E$6</f>
        <v>43.613240122140013</v>
      </c>
      <c r="F257" s="361">
        <f>D257/$E$7*100</f>
        <v>41.817600673373036</v>
      </c>
      <c r="G257" s="345">
        <f>D257/D256</f>
        <v>0.3440334622527767</v>
      </c>
      <c r="J257" s="367">
        <f t="shared" si="335"/>
        <v>43.613240122140013</v>
      </c>
      <c r="AB257"/>
    </row>
    <row r="258" spans="2:42" hidden="1">
      <c r="B258"/>
      <c r="C258" s="359" t="s">
        <v>112</v>
      </c>
      <c r="D258" s="56">
        <v>618796.49238921888</v>
      </c>
      <c r="E258" s="346">
        <f>D258/$E$6</f>
        <v>83.157103194334894</v>
      </c>
      <c r="F258" s="361">
        <f>D258/$E$7*100</f>
        <v>79.73336823397058</v>
      </c>
      <c r="G258" s="345">
        <f>D258/D256</f>
        <v>0.65596653774722324</v>
      </c>
      <c r="J258" s="367">
        <f t="shared" si="335"/>
        <v>83.157103194334894</v>
      </c>
      <c r="AB258"/>
    </row>
    <row r="259" spans="2:42" hidden="1">
      <c r="AB259"/>
    </row>
    <row r="260" spans="2:42" hidden="1">
      <c r="B260"/>
      <c r="G260" t="s">
        <v>171</v>
      </c>
      <c r="J260" s="385">
        <f>D256/D246</f>
        <v>0.46564991432639452</v>
      </c>
      <c r="N260"/>
      <c r="P260"/>
      <c r="U260"/>
      <c r="V260"/>
      <c r="AA260"/>
      <c r="AB260"/>
      <c r="AD260"/>
      <c r="AI260"/>
      <c r="AJ260"/>
      <c r="AO260"/>
      <c r="AP260"/>
    </row>
    <row r="261" spans="2:42" ht="17.25" hidden="1" thickBot="1">
      <c r="B261"/>
      <c r="N261"/>
      <c r="P261"/>
      <c r="U261"/>
      <c r="V261"/>
      <c r="AA261"/>
      <c r="AB261"/>
      <c r="AD261"/>
      <c r="AI261"/>
      <c r="AJ261"/>
      <c r="AO261"/>
      <c r="AP261"/>
    </row>
    <row r="262" spans="2:42" hidden="1">
      <c r="B262"/>
      <c r="C262" s="387" t="s">
        <v>172</v>
      </c>
      <c r="N262"/>
      <c r="P262"/>
      <c r="U262"/>
      <c r="V262"/>
      <c r="AA262"/>
      <c r="AB262"/>
      <c r="AD262"/>
      <c r="AI262"/>
      <c r="AJ262"/>
      <c r="AO262"/>
      <c r="AP262"/>
    </row>
    <row r="263" spans="2:42" hidden="1">
      <c r="B263"/>
      <c r="C263" s="388"/>
      <c r="F263" s="345"/>
      <c r="N263"/>
      <c r="P263"/>
      <c r="U263"/>
      <c r="V263"/>
      <c r="AA263"/>
      <c r="AB263"/>
      <c r="AD263"/>
      <c r="AI263"/>
      <c r="AJ263"/>
      <c r="AO263"/>
      <c r="AP263"/>
    </row>
    <row r="264" spans="2:42" hidden="1">
      <c r="B264"/>
      <c r="C264" s="389" t="s">
        <v>173</v>
      </c>
      <c r="N264"/>
      <c r="P264"/>
      <c r="U264"/>
      <c r="V264"/>
      <c r="AA264"/>
      <c r="AB264"/>
      <c r="AD264"/>
      <c r="AI264"/>
      <c r="AJ264"/>
      <c r="AO264"/>
      <c r="AP264"/>
    </row>
    <row r="265" spans="2:42" hidden="1">
      <c r="B265"/>
      <c r="C265" s="388">
        <f>J233+J228+J202-J154-J147-J136-J131-J126-J120-J115-J110-J99-J94-J88-J80-J75-J70-J66-J60-J51-J42-J37-J21</f>
        <v>3.1581564120253809</v>
      </c>
      <c r="N265"/>
      <c r="P265"/>
      <c r="U265"/>
      <c r="V265"/>
      <c r="AA265"/>
      <c r="AB265"/>
      <c r="AD265"/>
      <c r="AI265"/>
      <c r="AJ265"/>
      <c r="AO265"/>
      <c r="AP265"/>
    </row>
    <row r="266" spans="2:42" ht="17.25" hidden="1" thickBot="1">
      <c r="B266"/>
      <c r="C266" s="390">
        <f>C263-C265</f>
        <v>-3.1581564120253809</v>
      </c>
      <c r="N266"/>
      <c r="P266"/>
      <c r="U266"/>
      <c r="V266"/>
      <c r="AA266"/>
      <c r="AB266"/>
      <c r="AD266"/>
      <c r="AI266"/>
      <c r="AJ266"/>
      <c r="AO266"/>
      <c r="AP266"/>
    </row>
    <row r="267" spans="2:42">
      <c r="C267" s="56" t="s">
        <v>352</v>
      </c>
    </row>
  </sheetData>
  <sheetProtection algorithmName="SHA-512" hashValue="u1BN9YSet7Gnh12aU4RMuoZOni1/v8ZAIp8geslAKJJrgZX/5Sao5KHqDzpPxB2z9fLuDWmqMNetWOnEARoWqA==" saltValue="OafBxT/AqYzdNaxH5BWkGg==" spinCount="100000" sheet="1" selectLockedCells="1" selectUnlockedCells="1"/>
  <mergeCells count="9">
    <mergeCell ref="S246:T246"/>
    <mergeCell ref="Y246:Z246"/>
    <mergeCell ref="L8:M9"/>
    <mergeCell ref="R8:S9"/>
    <mergeCell ref="AR8:AS9"/>
    <mergeCell ref="AL8:AM9"/>
    <mergeCell ref="AF8:AG9"/>
    <mergeCell ref="X8:Y9"/>
    <mergeCell ref="AG246:AH246"/>
  </mergeCells>
  <conditionalFormatting sqref="J237 J243:J1048576 J229 J232 J1:J10">
    <cfRule type="expression" dxfId="0" priority="2">
      <formula>IF(OR($D$2=3,$D$2=6,$D$2=9,$D$2=12,$D$2=15,$D$2=18),+$J:$J)</formula>
    </cfRule>
  </conditionalFormatting>
  <pageMargins left="0.7" right="0.7" top="0.75" bottom="0.75" header="0.3" footer="0.3"/>
  <pageSetup orientation="portrait" horizontalDpi="200" verticalDpi="2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J29"/>
  <sheetViews>
    <sheetView workbookViewId="0"/>
  </sheetViews>
  <sheetFormatPr baseColWidth="10" defaultRowHeight="14.25"/>
  <cols>
    <col min="1" max="1" width="29.125" customWidth="1"/>
    <col min="7" max="7" width="24" customWidth="1"/>
    <col min="8" max="8" width="10.75" customWidth="1"/>
    <col min="9" max="9" width="12" customWidth="1"/>
  </cols>
  <sheetData>
    <row r="1" spans="1:2">
      <c r="A1" t="s">
        <v>352</v>
      </c>
    </row>
    <row r="2" spans="1:2" hidden="1">
      <c r="A2" t="s">
        <v>75</v>
      </c>
    </row>
    <row r="3" spans="1:2" hidden="1">
      <c r="A3" s="163"/>
      <c r="B3">
        <v>2017</v>
      </c>
    </row>
    <row r="4" spans="1:2" hidden="1">
      <c r="A4" s="159"/>
      <c r="B4">
        <v>2018</v>
      </c>
    </row>
    <row r="5" spans="1:2" hidden="1">
      <c r="A5" s="153"/>
      <c r="B5">
        <v>2019</v>
      </c>
    </row>
    <row r="6" spans="1:2" hidden="1">
      <c r="A6" s="154"/>
      <c r="B6">
        <v>2020</v>
      </c>
    </row>
    <row r="7" spans="1:2" hidden="1">
      <c r="A7" s="155"/>
      <c r="B7">
        <v>2021</v>
      </c>
    </row>
    <row r="8" spans="1:2" hidden="1">
      <c r="A8" s="164"/>
      <c r="B8">
        <v>2022</v>
      </c>
    </row>
    <row r="9" spans="1:2" hidden="1"/>
    <row r="10" spans="1:2" hidden="1">
      <c r="A10" t="s">
        <v>76</v>
      </c>
    </row>
    <row r="11" spans="1:2" hidden="1">
      <c r="A11" s="157"/>
      <c r="B11" t="s">
        <v>77</v>
      </c>
    </row>
    <row r="12" spans="1:2" hidden="1">
      <c r="A12" s="156"/>
      <c r="B12" t="s">
        <v>78</v>
      </c>
    </row>
    <row r="13" spans="1:2" hidden="1">
      <c r="A13" s="162"/>
      <c r="B13" t="s">
        <v>79</v>
      </c>
    </row>
    <row r="14" spans="1:2" hidden="1">
      <c r="A14" s="160"/>
      <c r="B14" t="s">
        <v>80</v>
      </c>
    </row>
    <row r="15" spans="1:2" hidden="1"/>
    <row r="16" spans="1:2" ht="15" hidden="1" thickBot="1"/>
    <row r="17" spans="1:10" hidden="1">
      <c r="A17" t="s">
        <v>81</v>
      </c>
      <c r="F17" s="165" t="s">
        <v>86</v>
      </c>
      <c r="G17" s="166"/>
      <c r="H17" s="166"/>
      <c r="I17" s="166"/>
      <c r="J17" s="167"/>
    </row>
    <row r="18" spans="1:10" hidden="1">
      <c r="A18" t="s">
        <v>82</v>
      </c>
      <c r="B18" t="s">
        <v>177</v>
      </c>
      <c r="F18" s="168"/>
      <c r="G18" s="169"/>
      <c r="H18" s="169" t="str">
        <f>B27</f>
        <v>par porc</v>
      </c>
      <c r="I18" s="169" t="str">
        <f>B28</f>
        <v>par 100 kg</v>
      </c>
      <c r="J18" s="170" t="str">
        <f>B29</f>
        <v>%</v>
      </c>
    </row>
    <row r="19" spans="1:10" hidden="1">
      <c r="B19" t="s">
        <v>83</v>
      </c>
      <c r="F19" s="168"/>
      <c r="G19" s="169" t="str">
        <f t="shared" ref="G19:G24" si="0">B18</f>
        <v>Coût de production 2017</v>
      </c>
      <c r="H19" s="169">
        <v>1</v>
      </c>
      <c r="I19" s="169">
        <v>2</v>
      </c>
      <c r="J19" s="170">
        <v>3</v>
      </c>
    </row>
    <row r="20" spans="1:10" hidden="1">
      <c r="B20" t="s">
        <v>139</v>
      </c>
      <c r="F20" s="168"/>
      <c r="G20" s="169" t="str">
        <f t="shared" si="0"/>
        <v>Indexation 2018</v>
      </c>
      <c r="H20" s="169">
        <v>4</v>
      </c>
      <c r="I20" s="169">
        <v>5</v>
      </c>
      <c r="J20" s="170">
        <v>6</v>
      </c>
    </row>
    <row r="21" spans="1:10" hidden="1">
      <c r="B21" t="s">
        <v>140</v>
      </c>
      <c r="F21" s="168"/>
      <c r="G21" s="169" t="str">
        <f t="shared" si="0"/>
        <v>Indexation 2019</v>
      </c>
      <c r="H21" s="169">
        <v>7</v>
      </c>
      <c r="I21" s="169">
        <v>8</v>
      </c>
      <c r="J21" s="170">
        <v>9</v>
      </c>
    </row>
    <row r="22" spans="1:10" hidden="1">
      <c r="B22" t="s">
        <v>144</v>
      </c>
      <c r="F22" s="168"/>
      <c r="G22" s="169" t="str">
        <f t="shared" si="0"/>
        <v>Indexation 2020</v>
      </c>
      <c r="H22" s="169">
        <v>10</v>
      </c>
      <c r="I22" s="169">
        <v>11</v>
      </c>
      <c r="J22" s="170">
        <v>12</v>
      </c>
    </row>
    <row r="23" spans="1:10" hidden="1">
      <c r="B23" t="s">
        <v>178</v>
      </c>
      <c r="F23" s="168"/>
      <c r="G23" s="169" t="str">
        <f t="shared" si="0"/>
        <v>Indexation 2021</v>
      </c>
      <c r="H23" s="169">
        <v>13</v>
      </c>
      <c r="I23" s="169">
        <v>14</v>
      </c>
      <c r="J23" s="170">
        <v>15</v>
      </c>
    </row>
    <row r="24" spans="1:10" ht="15" hidden="1" thickBot="1">
      <c r="F24" s="171"/>
      <c r="G24" s="172" t="str">
        <f t="shared" si="0"/>
        <v>Indexation 2022</v>
      </c>
      <c r="H24" s="172">
        <v>16</v>
      </c>
      <c r="I24" s="172">
        <v>17</v>
      </c>
      <c r="J24" s="173">
        <v>18</v>
      </c>
    </row>
    <row r="25" spans="1:10" ht="15" hidden="1" thickBot="1"/>
    <row r="26" spans="1:10" ht="36" hidden="1">
      <c r="F26" s="174" t="s">
        <v>86</v>
      </c>
      <c r="G26" s="175"/>
      <c r="H26" s="182">
        <f>IF(AND(G27=G19,G28=H18),H19,IF(AND(G27=G19,G28=I18),I19,IF(AND(G27=G19,G28=J18),J19,IF(AND(G27=G20,G28=H18),H20,IF(AND(G27=G20,G28=I18),I20,IF(AND(G27=G20,G28=J18),J20,IF(AND(G27=G21,G28=H18),H21,IF(AND(G27=G21,G28=I18),I21,IF(AND(G27=G21,G28=J18),J21,IF(AND(G27=G22,G28=H18),H22,IF(AND(G27=G22,G28=I18),I22,IF(AND(G27=G22,G28=J18),J22,IF(AND(G27=G23,G28=H18),H23,IF(AND(G27=G23,G28=I18),I23,IF(AND(G27=G23,G28=J18),J23,IF(AND(G27=G24,G28=H18),H24,IF(AND(G27=G24,G28=I18),I24,IF(AND(G27=G24,G28=J18),J24))))))))))))))))))</f>
        <v>10</v>
      </c>
    </row>
    <row r="27" spans="1:10" hidden="1">
      <c r="A27" t="s">
        <v>84</v>
      </c>
      <c r="B27" t="s">
        <v>179</v>
      </c>
      <c r="F27" s="176" t="s">
        <v>75</v>
      </c>
      <c r="G27" s="177" t="str">
        <f>Comparaison!E8</f>
        <v>Indexation 2020</v>
      </c>
      <c r="H27" s="178"/>
    </row>
    <row r="28" spans="1:10" ht="15" hidden="1" thickBot="1">
      <c r="B28" t="s">
        <v>180</v>
      </c>
      <c r="F28" s="179" t="s">
        <v>87</v>
      </c>
      <c r="G28" s="180" t="str">
        <f>Comparaison!E10</f>
        <v>par porc</v>
      </c>
      <c r="H28" s="181"/>
    </row>
    <row r="29" spans="1:10" hidden="1">
      <c r="B29" t="s">
        <v>85</v>
      </c>
    </row>
  </sheetData>
  <sheetProtection algorithmName="SHA-512" hashValue="BkKeb4Vwcy9x0A5eEmwiBLBOj3qMMbe6acFzM/jGrjuBZDQtkZHhx/e+hAbajLPRubKMu6ZLhiozNwTtqR+a3g==" saltValue="seSD7/dgAjVmrs1LzxliVg=="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Instructions</vt:lpstr>
      <vt:lpstr>ECP2017</vt:lpstr>
      <vt:lpstr>Comparaison</vt:lpstr>
      <vt:lpstr>Définitions</vt:lpstr>
      <vt:lpstr>Coef+Ind</vt:lpstr>
      <vt:lpstr>Lég_Choix</vt:lpstr>
    </vt:vector>
  </TitlesOfParts>
  <Company>FADQ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Plamondon, Julie</dc:creator>
  <cp:lastModifiedBy>Desgagné, Jeanne</cp:lastModifiedBy>
  <cp:lastPrinted>2018-06-04T13:30:53Z</cp:lastPrinted>
  <dcterms:created xsi:type="dcterms:W3CDTF">2018-05-29T20:22:25Z</dcterms:created>
  <dcterms:modified xsi:type="dcterms:W3CDTF">2022-06-15T18:49:14Z</dcterms:modified>
</cp:coreProperties>
</file>