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codeName="ThisWorkbook"/>
  <mc:AlternateContent xmlns:mc="http://schemas.openxmlformats.org/markup-compatibility/2006">
    <mc:Choice Requires="x15">
      <x15ac:absPath xmlns:x15ac="http://schemas.microsoft.com/office/spreadsheetml/2010/11/ac" url="P:\Archive Cecpa\Secrétariat corpo\Analyses-ECP\Site Internet\Études\Études de coût de production\Excel\2021\"/>
    </mc:Choice>
  </mc:AlternateContent>
  <xr:revisionPtr revIDLastSave="0" documentId="13_ncr:1_{21B7257B-D502-47B2-903D-2344AD23EE23}" xr6:coauthVersionLast="47" xr6:coauthVersionMax="47" xr10:uidLastSave="{00000000-0000-0000-0000-000000000000}"/>
  <bookViews>
    <workbookView xWindow="-120" yWindow="-120" windowWidth="29040" windowHeight="15840" xr2:uid="{00000000-000D-0000-FFFF-FFFF00000000}"/>
  </bookViews>
  <sheets>
    <sheet name="Instructions" sheetId="1" r:id="rId1"/>
    <sheet name="ECP2018" sheetId="8" r:id="rId2"/>
    <sheet name="Comparaison" sheetId="3" r:id="rId3"/>
    <sheet name="Définitions" sheetId="4" r:id="rId4"/>
    <sheet name="Coef+Ind" sheetId="6" state="hidden" r:id="rId5"/>
    <sheet name="Lég_Choix" sheetId="7" state="hidden"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B179" i="6" l="1"/>
  <c r="AB174" i="6"/>
  <c r="AB173" i="6"/>
  <c r="AC172" i="6"/>
  <c r="AD172" i="6" s="1"/>
  <c r="AB161" i="6"/>
  <c r="AB160" i="6"/>
  <c r="AB159" i="6"/>
  <c r="AB149" i="6"/>
  <c r="AB137" i="6"/>
  <c r="AB135" i="6"/>
  <c r="AB131" i="6"/>
  <c r="AB126" i="6"/>
  <c r="AB111" i="6"/>
  <c r="AB110" i="6"/>
  <c r="AE172" i="6" l="1"/>
  <c r="AB86" i="6" l="1"/>
  <c r="AB85" i="6"/>
  <c r="AB80" i="6"/>
  <c r="AB77" i="6"/>
  <c r="AB78" i="6"/>
  <c r="AB76" i="6"/>
  <c r="AB79" i="6"/>
  <c r="AB185" i="6"/>
  <c r="AB46" i="6"/>
  <c r="AB42" i="6"/>
  <c r="AB40" i="6"/>
  <c r="AB38" i="6"/>
  <c r="AB14" i="6"/>
  <c r="AB13" i="6"/>
  <c r="AB34" i="6"/>
  <c r="AB28" i="6"/>
  <c r="AB23" i="6"/>
  <c r="AB21" i="6"/>
  <c r="AB22" i="6"/>
  <c r="AB54" i="6"/>
  <c r="AC56" i="6"/>
  <c r="W55" i="6"/>
  <c r="AD55" i="6" l="1"/>
  <c r="AC55" i="6"/>
  <c r="AE55" i="6" s="1"/>
  <c r="AC50" i="6"/>
  <c r="AB15" i="6"/>
  <c r="AB12" i="6"/>
  <c r="V38" i="6" l="1"/>
  <c r="V21" i="6"/>
  <c r="V19" i="6"/>
  <c r="V51" i="6"/>
  <c r="X200" i="6" l="1"/>
  <c r="Y200" i="6"/>
  <c r="W203" i="6"/>
  <c r="Q199" i="6"/>
  <c r="V179" i="6"/>
  <c r="V173" i="6"/>
  <c r="V174" i="6"/>
  <c r="V172" i="6"/>
  <c r="AC169" i="6"/>
  <c r="W171" i="6"/>
  <c r="AC171" i="6" s="1"/>
  <c r="W161" i="6"/>
  <c r="W160" i="6"/>
  <c r="V161" i="6"/>
  <c r="V160" i="6"/>
  <c r="V159" i="6"/>
  <c r="V149" i="6"/>
  <c r="V137" i="6"/>
  <c r="V135" i="6"/>
  <c r="V131" i="6"/>
  <c r="V126" i="6"/>
  <c r="V111" i="6"/>
  <c r="V110" i="6"/>
  <c r="W96" i="6"/>
  <c r="V105" i="6"/>
  <c r="V86" i="6"/>
  <c r="V85" i="6"/>
  <c r="V80" i="6"/>
  <c r="V76" i="6"/>
  <c r="W77" i="6" s="1"/>
  <c r="V79" i="6"/>
  <c r="W79" i="6" s="1"/>
  <c r="V185" i="6"/>
  <c r="W61" i="6"/>
  <c r="V66" i="6"/>
  <c r="W71" i="6"/>
  <c r="V45" i="6"/>
  <c r="V41" i="6"/>
  <c r="V43" i="6"/>
  <c r="W44" i="6" s="1"/>
  <c r="V46" i="6"/>
  <c r="V42" i="6"/>
  <c r="V39" i="6"/>
  <c r="V40" i="6"/>
  <c r="V14" i="6"/>
  <c r="V13" i="6"/>
  <c r="V34" i="6"/>
  <c r="V23" i="6"/>
  <c r="W24" i="6"/>
  <c r="V22" i="6"/>
  <c r="V56" i="6"/>
  <c r="V54" i="6"/>
  <c r="X55" i="6" s="1"/>
  <c r="W52" i="6"/>
  <c r="W53" i="6"/>
  <c r="Y53" i="6"/>
  <c r="V50" i="6"/>
  <c r="V15" i="6"/>
  <c r="V12" i="6"/>
  <c r="W12" i="6"/>
  <c r="X53" i="6" l="1"/>
  <c r="AC53" i="6"/>
  <c r="Y52" i="6"/>
  <c r="AC52" i="6"/>
  <c r="Y71" i="6"/>
  <c r="AC71" i="6"/>
  <c r="Y79" i="6"/>
  <c r="AC79" i="6"/>
  <c r="X52" i="6"/>
  <c r="W78" i="6"/>
  <c r="X79" i="6"/>
  <c r="X71" i="6"/>
  <c r="W54" i="6"/>
  <c r="AC54" i="6" s="1"/>
  <c r="Y55" i="6"/>
  <c r="AO209" i="6"/>
  <c r="AQ209" i="6" s="1"/>
  <c r="AI209" i="6"/>
  <c r="AJ209" i="6" s="1"/>
  <c r="Q209" i="6"/>
  <c r="S209" i="6" s="1"/>
  <c r="AC209" i="6"/>
  <c r="AD209" i="6" s="1"/>
  <c r="W209" i="6"/>
  <c r="Y209" i="6" s="1"/>
  <c r="I83" i="3"/>
  <c r="N9" i="6"/>
  <c r="E61" i="3"/>
  <c r="E93" i="3"/>
  <c r="E80" i="3"/>
  <c r="E90" i="3"/>
  <c r="E145" i="3"/>
  <c r="I15" i="3"/>
  <c r="AE79" i="6" l="1"/>
  <c r="AD79" i="6"/>
  <c r="AD52" i="6"/>
  <c r="AE52" i="6"/>
  <c r="AE71" i="6"/>
  <c r="AD71" i="6"/>
  <c r="AE53" i="6"/>
  <c r="AD53" i="6"/>
  <c r="AD54" i="6"/>
  <c r="AE54" i="6"/>
  <c r="Y54" i="6"/>
  <c r="X54" i="6"/>
  <c r="AK209" i="6"/>
  <c r="AP209" i="6"/>
  <c r="R209" i="6"/>
  <c r="X209" i="6"/>
  <c r="AE209" i="6"/>
  <c r="G17" i="3" l="1"/>
  <c r="I6" i="3"/>
  <c r="I30" i="3"/>
  <c r="I29" i="3"/>
  <c r="I24" i="3"/>
  <c r="I23" i="3"/>
  <c r="E47" i="3"/>
  <c r="E54" i="3" s="1"/>
  <c r="E63" i="3" s="1"/>
  <c r="L205" i="6"/>
  <c r="G209" i="6" l="1"/>
  <c r="M209" i="6" s="1"/>
  <c r="G217" i="6"/>
  <c r="G215" i="6"/>
  <c r="G214" i="6"/>
  <c r="G213" i="6"/>
  <c r="L209" i="6" l="1"/>
  <c r="Q195" i="6"/>
  <c r="Q196" i="6" s="1"/>
  <c r="Q171" i="6"/>
  <c r="Q170" i="6"/>
  <c r="Q169" i="6"/>
  <c r="Q165" i="6"/>
  <c r="Q158" i="6"/>
  <c r="Q157" i="6"/>
  <c r="Q156" i="6"/>
  <c r="Q155" i="6"/>
  <c r="Q154" i="6"/>
  <c r="Q153" i="6"/>
  <c r="Q144" i="6"/>
  <c r="Q142" i="6"/>
  <c r="Q141" i="6"/>
  <c r="Q136" i="6"/>
  <c r="Q134" i="6"/>
  <c r="Q133" i="6"/>
  <c r="Q132" i="6"/>
  <c r="Q122" i="6"/>
  <c r="Q121" i="6"/>
  <c r="Q106" i="6"/>
  <c r="Q101" i="6"/>
  <c r="Q100" i="6"/>
  <c r="Q99" i="6"/>
  <c r="Q98" i="6"/>
  <c r="Q97" i="6"/>
  <c r="Q96" i="6"/>
  <c r="Q95" i="6"/>
  <c r="Q94" i="6"/>
  <c r="Q90" i="6"/>
  <c r="Q84" i="6"/>
  <c r="Q72" i="6"/>
  <c r="Q71" i="6"/>
  <c r="Q70" i="6"/>
  <c r="Q62" i="6"/>
  <c r="Q61" i="6"/>
  <c r="Q60" i="6"/>
  <c r="Q53" i="6"/>
  <c r="Q52" i="6"/>
  <c r="Q51" i="6"/>
  <c r="Q33" i="6"/>
  <c r="Q20" i="6"/>
  <c r="Q19" i="6"/>
  <c r="Q123" i="6" l="1"/>
  <c r="Q73" i="6"/>
  <c r="Q102" i="6"/>
  <c r="P185" i="6"/>
  <c r="P179" i="6"/>
  <c r="Q179" i="6" s="1"/>
  <c r="Q182" i="6" s="1"/>
  <c r="P174" i="6"/>
  <c r="Q174" i="6" s="1"/>
  <c r="P173" i="6"/>
  <c r="Q173" i="6" s="1"/>
  <c r="P172" i="6"/>
  <c r="Q172" i="6" s="1"/>
  <c r="P161" i="6"/>
  <c r="Q161" i="6" s="1"/>
  <c r="P160" i="6"/>
  <c r="Q160" i="6" s="1"/>
  <c r="P159" i="6"/>
  <c r="Q159" i="6" s="1"/>
  <c r="P149" i="6"/>
  <c r="Q149" i="6" s="1"/>
  <c r="P137" i="6"/>
  <c r="Q137" i="6" s="1"/>
  <c r="P135" i="6"/>
  <c r="Q135" i="6" s="1"/>
  <c r="P131" i="6"/>
  <c r="Q131" i="6" s="1"/>
  <c r="P126" i="6"/>
  <c r="Q126" i="6" s="1"/>
  <c r="Q128" i="6" s="1"/>
  <c r="P116" i="6"/>
  <c r="Q116" i="6" s="1"/>
  <c r="P115" i="6"/>
  <c r="Q115" i="6" s="1"/>
  <c r="P111" i="6"/>
  <c r="Q111" i="6" s="1"/>
  <c r="P110" i="6"/>
  <c r="Q110" i="6" s="1"/>
  <c r="Q112" i="6" s="1"/>
  <c r="P105" i="6"/>
  <c r="Q105" i="6" s="1"/>
  <c r="Q107" i="6" s="1"/>
  <c r="P86" i="6"/>
  <c r="Q86" i="6" s="1"/>
  <c r="P85" i="6"/>
  <c r="Q85" i="6" s="1"/>
  <c r="P79" i="6"/>
  <c r="Q79" i="6" s="1"/>
  <c r="P76" i="6"/>
  <c r="P66" i="6"/>
  <c r="Q66" i="6" s="1"/>
  <c r="P56" i="6"/>
  <c r="Q56" i="6" s="1"/>
  <c r="P54" i="6"/>
  <c r="P50" i="6"/>
  <c r="Q50" i="6" s="1"/>
  <c r="P46" i="6"/>
  <c r="Q46" i="6" s="1"/>
  <c r="P45" i="6"/>
  <c r="Q45" i="6" s="1"/>
  <c r="P44" i="6"/>
  <c r="Q44" i="6" s="1"/>
  <c r="P43" i="6"/>
  <c r="Q43" i="6" s="1"/>
  <c r="P42" i="6"/>
  <c r="Q42" i="6" s="1"/>
  <c r="P41" i="6"/>
  <c r="Q41" i="6" s="1"/>
  <c r="P40" i="6"/>
  <c r="Q40" i="6" s="1"/>
  <c r="P39" i="6"/>
  <c r="Q39" i="6" s="1"/>
  <c r="P38" i="6"/>
  <c r="Q38" i="6" s="1"/>
  <c r="P34" i="6"/>
  <c r="Q34" i="6" s="1"/>
  <c r="Q35" i="6" s="1"/>
  <c r="P29" i="6"/>
  <c r="Q29" i="6" s="1"/>
  <c r="P28" i="6"/>
  <c r="Q28" i="6" s="1"/>
  <c r="P23" i="6"/>
  <c r="P22" i="6"/>
  <c r="Q22" i="6" s="1"/>
  <c r="P21" i="6"/>
  <c r="Q21" i="6" s="1"/>
  <c r="P15" i="6"/>
  <c r="Q15" i="6" s="1"/>
  <c r="P14" i="6"/>
  <c r="Q14" i="6" s="1"/>
  <c r="P13" i="6"/>
  <c r="Q13" i="6" s="1"/>
  <c r="P12" i="6"/>
  <c r="Q12" i="6" s="1"/>
  <c r="Q118" i="6" l="1"/>
  <c r="Q47" i="6"/>
  <c r="Q175" i="6"/>
  <c r="Q162" i="6"/>
  <c r="Q54" i="6"/>
  <c r="Q55" i="6"/>
  <c r="Q191" i="6"/>
  <c r="Q192" i="6" s="1"/>
  <c r="Q187" i="6"/>
  <c r="Q186" i="6"/>
  <c r="Q185" i="6"/>
  <c r="Q23" i="6"/>
  <c r="Q24" i="6"/>
  <c r="Q80" i="6"/>
  <c r="Q78" i="6"/>
  <c r="Q77" i="6"/>
  <c r="Q76" i="6"/>
  <c r="Q16" i="6"/>
  <c r="Q138" i="6"/>
  <c r="AC61" i="6"/>
  <c r="W62" i="6"/>
  <c r="W43" i="6"/>
  <c r="AC43" i="6" s="1"/>
  <c r="W45" i="6"/>
  <c r="W46" i="6"/>
  <c r="Q57" i="6" l="1"/>
  <c r="Q25" i="6"/>
  <c r="Q81" i="6"/>
  <c r="R12" i="6"/>
  <c r="R79" i="6"/>
  <c r="R71" i="6"/>
  <c r="S12" i="6"/>
  <c r="S71" i="6"/>
  <c r="S79" i="6"/>
  <c r="X62" i="6"/>
  <c r="AD43" i="6"/>
  <c r="X61" i="6"/>
  <c r="R62" i="6"/>
  <c r="AC62" i="6"/>
  <c r="AI62" i="6" s="1"/>
  <c r="R61" i="6"/>
  <c r="R55" i="6"/>
  <c r="Y61" i="6"/>
  <c r="AD61" i="6"/>
  <c r="AI61" i="6"/>
  <c r="AE61" i="6"/>
  <c r="Y62" i="6"/>
  <c r="S62" i="6"/>
  <c r="S61" i="6"/>
  <c r="S46" i="6"/>
  <c r="S52" i="6"/>
  <c r="S45" i="6"/>
  <c r="S55" i="6"/>
  <c r="R43" i="6"/>
  <c r="S54" i="6"/>
  <c r="X46" i="6"/>
  <c r="R53" i="6"/>
  <c r="Y45" i="6"/>
  <c r="R52" i="6"/>
  <c r="X43" i="6"/>
  <c r="R54" i="6"/>
  <c r="S53" i="6"/>
  <c r="R46" i="6"/>
  <c r="AC46" i="6"/>
  <c r="X45" i="6"/>
  <c r="R44" i="6"/>
  <c r="X44" i="6"/>
  <c r="AC45" i="6"/>
  <c r="AE45" i="6" s="1"/>
  <c r="Y43" i="6"/>
  <c r="S43" i="6"/>
  <c r="Y46" i="6"/>
  <c r="AI43" i="6"/>
  <c r="AO43" i="6" s="1"/>
  <c r="AE43" i="6"/>
  <c r="Y44" i="6"/>
  <c r="R45" i="6"/>
  <c r="S44" i="6"/>
  <c r="G15" i="3"/>
  <c r="M224" i="6" l="1"/>
  <c r="N226" i="6"/>
  <c r="N223" i="6"/>
  <c r="M226" i="6"/>
  <c r="N222" i="6"/>
  <c r="N224" i="6"/>
  <c r="AE62" i="6"/>
  <c r="AD62" i="6"/>
  <c r="AJ61" i="6"/>
  <c r="AK61" i="6"/>
  <c r="AO61" i="6"/>
  <c r="AJ62" i="6"/>
  <c r="AK62" i="6"/>
  <c r="AO62" i="6"/>
  <c r="AI46" i="6"/>
  <c r="AE46" i="6"/>
  <c r="AD46" i="6"/>
  <c r="AD45" i="6"/>
  <c r="AI45" i="6"/>
  <c r="AP43" i="6"/>
  <c r="AQ43" i="6"/>
  <c r="AD44" i="6"/>
  <c r="AE44" i="6"/>
  <c r="AI44" i="6"/>
  <c r="AJ43" i="6"/>
  <c r="AK43" i="6"/>
  <c r="N225" i="6" l="1"/>
  <c r="N227" i="6" s="1"/>
  <c r="M222" i="6"/>
  <c r="M221" i="6"/>
  <c r="M223" i="6"/>
  <c r="N221" i="6"/>
  <c r="AQ62" i="6"/>
  <c r="AP62" i="6"/>
  <c r="AQ61" i="6"/>
  <c r="AP61" i="6"/>
  <c r="AJ45" i="6"/>
  <c r="AO45" i="6"/>
  <c r="AK45" i="6"/>
  <c r="AJ44" i="6"/>
  <c r="AO44" i="6"/>
  <c r="AK44" i="6"/>
  <c r="AO46" i="6"/>
  <c r="AK46" i="6"/>
  <c r="AJ46" i="6"/>
  <c r="M225" i="6" l="1"/>
  <c r="M227" i="6" s="1"/>
  <c r="AP46" i="6"/>
  <c r="AQ46" i="6"/>
  <c r="AP44" i="6"/>
  <c r="AQ44" i="6"/>
  <c r="AQ45" i="6"/>
  <c r="AP45" i="6"/>
  <c r="W143" i="6"/>
  <c r="Y143" i="6" s="1"/>
  <c r="Q143" i="6"/>
  <c r="S143" i="6" l="1"/>
  <c r="Q145" i="6"/>
  <c r="R143" i="6"/>
  <c r="X143" i="6"/>
  <c r="X127" i="6" l="1"/>
  <c r="Y127" i="6"/>
  <c r="X117" i="6"/>
  <c r="Y117" i="6"/>
  <c r="W191" i="6" l="1"/>
  <c r="W187" i="6"/>
  <c r="W186" i="6"/>
  <c r="W185" i="6"/>
  <c r="AC185" i="6" s="1"/>
  <c r="W179" i="6"/>
  <c r="W174" i="6"/>
  <c r="W173" i="6"/>
  <c r="W172" i="6"/>
  <c r="W159" i="6"/>
  <c r="W149" i="6"/>
  <c r="W137" i="6"/>
  <c r="W136" i="6"/>
  <c r="W135" i="6"/>
  <c r="W134" i="6"/>
  <c r="W133" i="6"/>
  <c r="W132" i="6"/>
  <c r="W131" i="6"/>
  <c r="W126" i="6"/>
  <c r="W128" i="6" s="1"/>
  <c r="W122" i="6"/>
  <c r="W121" i="6"/>
  <c r="W111" i="6"/>
  <c r="W110" i="6"/>
  <c r="W106" i="6"/>
  <c r="W105" i="6"/>
  <c r="W80" i="6"/>
  <c r="W76" i="6"/>
  <c r="W72" i="6"/>
  <c r="W70" i="6"/>
  <c r="W66" i="6"/>
  <c r="AB66" i="6" s="1"/>
  <c r="W60" i="6"/>
  <c r="W63" i="6" s="1"/>
  <c r="W56" i="6"/>
  <c r="AB56" i="6" s="1"/>
  <c r="W51" i="6"/>
  <c r="W50" i="6"/>
  <c r="AB50" i="6" s="1"/>
  <c r="W42" i="6"/>
  <c r="W41" i="6"/>
  <c r="W40" i="6"/>
  <c r="W39" i="6"/>
  <c r="W38" i="6"/>
  <c r="W34" i="6"/>
  <c r="W33" i="6"/>
  <c r="W23" i="6"/>
  <c r="AC23" i="6" s="1"/>
  <c r="W22" i="6"/>
  <c r="W21" i="6"/>
  <c r="W20" i="6"/>
  <c r="W19" i="6"/>
  <c r="W15" i="6"/>
  <c r="W14" i="6"/>
  <c r="W13" i="6"/>
  <c r="W73" i="6" l="1"/>
  <c r="W81" i="6"/>
  <c r="W16" i="6"/>
  <c r="W30" i="6"/>
  <c r="W138" i="6"/>
  <c r="W118" i="6"/>
  <c r="X118" i="6" s="1"/>
  <c r="W25" i="6"/>
  <c r="W112" i="6"/>
  <c r="AO98" i="6"/>
  <c r="AQ98" i="6" s="1"/>
  <c r="AO97" i="6"/>
  <c r="AQ97" i="6" s="1"/>
  <c r="AO96" i="6"/>
  <c r="AQ96" i="6" s="1"/>
  <c r="AO95" i="6"/>
  <c r="AQ95" i="6" s="1"/>
  <c r="AO94" i="6"/>
  <c r="AQ94" i="6" s="1"/>
  <c r="AI98" i="6"/>
  <c r="AK98" i="6" s="1"/>
  <c r="AI97" i="6"/>
  <c r="AK97" i="6" s="1"/>
  <c r="AI96" i="6"/>
  <c r="AK96" i="6" s="1"/>
  <c r="AI95" i="6"/>
  <c r="AK95" i="6" s="1"/>
  <c r="AI94" i="6"/>
  <c r="AK94" i="6" s="1"/>
  <c r="AE98" i="6"/>
  <c r="AE97" i="6"/>
  <c r="AC96" i="6"/>
  <c r="AE96" i="6" s="1"/>
  <c r="AE95" i="6"/>
  <c r="AE94" i="6"/>
  <c r="W98" i="6"/>
  <c r="Y98" i="6" s="1"/>
  <c r="W97" i="6"/>
  <c r="Y97" i="6" s="1"/>
  <c r="Y96" i="6"/>
  <c r="Y95" i="6"/>
  <c r="W94" i="6"/>
  <c r="Y94" i="6" l="1"/>
  <c r="S199" i="6"/>
  <c r="S153" i="6" l="1"/>
  <c r="E104" i="3"/>
  <c r="E131" i="3" s="1"/>
  <c r="E153" i="3" s="1"/>
  <c r="E155" i="3" s="1"/>
  <c r="AR206" i="6" l="1"/>
  <c r="AL206" i="6"/>
  <c r="AF206" i="6"/>
  <c r="Z206" i="6"/>
  <c r="T206" i="6"/>
  <c r="M206" i="6"/>
  <c r="L206" i="6"/>
  <c r="G208" i="6" s="1"/>
  <c r="AR205" i="6"/>
  <c r="AL205" i="6"/>
  <c r="AF205" i="6"/>
  <c r="Z205" i="6"/>
  <c r="T205" i="6"/>
  <c r="M205" i="6"/>
  <c r="I17" i="3"/>
  <c r="E39" i="3"/>
  <c r="L208" i="6" l="1"/>
  <c r="L210" i="6" s="1"/>
  <c r="M208" i="6"/>
  <c r="M210" i="6" s="1"/>
  <c r="N6" i="6"/>
  <c r="N208" i="6" s="1"/>
  <c r="N210" i="6" s="1"/>
  <c r="G210" i="6"/>
  <c r="G229" i="6"/>
  <c r="G228" i="6"/>
  <c r="G227" i="6"/>
  <c r="G226" i="6"/>
  <c r="G225" i="6"/>
  <c r="G224" i="6"/>
  <c r="G222" i="6"/>
  <c r="K23" i="3"/>
  <c r="G45" i="3"/>
  <c r="G102" i="3" l="1"/>
  <c r="G135" i="3"/>
  <c r="G78" i="3"/>
  <c r="G76" i="3"/>
  <c r="G150" i="3"/>
  <c r="G97" i="3"/>
  <c r="G38" i="3"/>
  <c r="G46" i="3"/>
  <c r="G57" i="3"/>
  <c r="G88" i="3"/>
  <c r="G36" i="3"/>
  <c r="G37" i="3"/>
  <c r="K15" i="3"/>
  <c r="K30" i="3"/>
  <c r="K29" i="3"/>
  <c r="K24" i="3"/>
  <c r="G30" i="3"/>
  <c r="G29" i="3"/>
  <c r="G80" i="3" l="1"/>
  <c r="K17" i="3"/>
  <c r="AO199" i="6" l="1"/>
  <c r="AI199" i="6"/>
  <c r="AO195" i="6"/>
  <c r="AI195" i="6"/>
  <c r="AC195" i="6"/>
  <c r="W195" i="6"/>
  <c r="Y195" i="6" s="1"/>
  <c r="S195" i="6"/>
  <c r="AO170" i="6"/>
  <c r="AQ170" i="6" s="1"/>
  <c r="AO169" i="6"/>
  <c r="AQ169" i="6" s="1"/>
  <c r="AI170" i="6"/>
  <c r="AK170" i="6" s="1"/>
  <c r="AI169" i="6"/>
  <c r="AK169" i="6" s="1"/>
  <c r="AC170" i="6"/>
  <c r="AE170" i="6" s="1"/>
  <c r="AE169" i="6"/>
  <c r="W169" i="6"/>
  <c r="Y169" i="6" s="1"/>
  <c r="W170" i="6"/>
  <c r="Y170" i="6" s="1"/>
  <c r="S173" i="6"/>
  <c r="S170" i="6"/>
  <c r="AO165" i="6"/>
  <c r="AQ165" i="6" s="1"/>
  <c r="AI165" i="6"/>
  <c r="AK165" i="6" s="1"/>
  <c r="AC165" i="6"/>
  <c r="AE165" i="6" s="1"/>
  <c r="W165" i="6"/>
  <c r="Y165" i="6" s="1"/>
  <c r="AO158" i="6"/>
  <c r="AQ158" i="6" s="1"/>
  <c r="AO157" i="6"/>
  <c r="AQ157" i="6" s="1"/>
  <c r="AO156" i="6"/>
  <c r="AQ156" i="6" s="1"/>
  <c r="AO155" i="6"/>
  <c r="AQ155" i="6" s="1"/>
  <c r="AO154" i="6"/>
  <c r="AQ154" i="6" s="1"/>
  <c r="AO153" i="6"/>
  <c r="AQ153" i="6" s="1"/>
  <c r="AI158" i="6"/>
  <c r="AK158" i="6" s="1"/>
  <c r="AI157" i="6"/>
  <c r="AK157" i="6" s="1"/>
  <c r="AI156" i="6"/>
  <c r="AK156" i="6" s="1"/>
  <c r="AI155" i="6"/>
  <c r="AK155" i="6" s="1"/>
  <c r="AI154" i="6"/>
  <c r="AK154" i="6" s="1"/>
  <c r="AI153" i="6"/>
  <c r="AK153" i="6" s="1"/>
  <c r="AE158" i="6"/>
  <c r="AE157" i="6"/>
  <c r="AE156" i="6"/>
  <c r="AE155" i="6"/>
  <c r="AE154" i="6"/>
  <c r="AE153" i="6"/>
  <c r="W153" i="6"/>
  <c r="Y153" i="6" s="1"/>
  <c r="W158" i="6"/>
  <c r="Y158" i="6" s="1"/>
  <c r="W157" i="6"/>
  <c r="Y157" i="6" s="1"/>
  <c r="W156" i="6"/>
  <c r="Y156" i="6" s="1"/>
  <c r="W155" i="6"/>
  <c r="Y155" i="6" s="1"/>
  <c r="W154" i="6"/>
  <c r="Y154" i="6" s="1"/>
  <c r="S161" i="6"/>
  <c r="S159" i="6"/>
  <c r="S155" i="6"/>
  <c r="S156" i="6"/>
  <c r="S157" i="6"/>
  <c r="S131" i="6"/>
  <c r="S115" i="6"/>
  <c r="AO101" i="6"/>
  <c r="AO100" i="6"/>
  <c r="AO99" i="6"/>
  <c r="AQ99" i="6" s="1"/>
  <c r="AI101" i="6"/>
  <c r="AI100" i="6"/>
  <c r="AK100" i="6" s="1"/>
  <c r="AI99" i="6"/>
  <c r="AC101" i="6"/>
  <c r="AE101" i="6" s="1"/>
  <c r="AC100" i="6"/>
  <c r="AC99" i="6"/>
  <c r="AE99" i="6" s="1"/>
  <c r="S94" i="6"/>
  <c r="AO90" i="6"/>
  <c r="AQ90" i="6" s="1"/>
  <c r="AI90" i="6"/>
  <c r="AK90" i="6" s="1"/>
  <c r="AE90" i="6"/>
  <c r="Y90" i="6"/>
  <c r="W101" i="6"/>
  <c r="Y101" i="6" s="1"/>
  <c r="W100" i="6"/>
  <c r="Y100" i="6" s="1"/>
  <c r="W99" i="6"/>
  <c r="S101" i="6"/>
  <c r="S100" i="6"/>
  <c r="S99" i="6"/>
  <c r="S95" i="6"/>
  <c r="S96" i="6"/>
  <c r="S97" i="6"/>
  <c r="S98" i="6"/>
  <c r="S106" i="6"/>
  <c r="S84" i="6"/>
  <c r="S85" i="6"/>
  <c r="S86" i="6"/>
  <c r="S186" i="6"/>
  <c r="Q63" i="6"/>
  <c r="Q67" i="6"/>
  <c r="S29" i="6"/>
  <c r="W102" i="6" l="1"/>
  <c r="S169" i="6"/>
  <c r="S165" i="6"/>
  <c r="Q166" i="6"/>
  <c r="S166" i="6" s="1"/>
  <c r="S162" i="6"/>
  <c r="S149" i="6"/>
  <c r="Q150" i="6"/>
  <c r="S90" i="6"/>
  <c r="Q91" i="6"/>
  <c r="S91" i="6" s="1"/>
  <c r="S19" i="6"/>
  <c r="S28" i="6"/>
  <c r="Q30" i="6"/>
  <c r="Y66" i="6"/>
  <c r="S66" i="6"/>
  <c r="Y105" i="6"/>
  <c r="S105" i="6"/>
  <c r="AD100" i="6"/>
  <c r="AE100" i="6"/>
  <c r="AJ101" i="6"/>
  <c r="AK101" i="6"/>
  <c r="Y110" i="6"/>
  <c r="S110" i="6"/>
  <c r="Y122" i="6"/>
  <c r="S122" i="6"/>
  <c r="Y160" i="6"/>
  <c r="S160" i="6"/>
  <c r="Y174" i="6"/>
  <c r="S174" i="6"/>
  <c r="AO196" i="6"/>
  <c r="AQ196" i="6" s="1"/>
  <c r="AQ195" i="6"/>
  <c r="AP199" i="6"/>
  <c r="AQ199" i="6"/>
  <c r="Y60" i="6"/>
  <c r="S60" i="6"/>
  <c r="Y187" i="6"/>
  <c r="S187" i="6"/>
  <c r="Y76" i="6"/>
  <c r="S76" i="6"/>
  <c r="Y126" i="6"/>
  <c r="S126" i="6"/>
  <c r="Y171" i="6"/>
  <c r="S171" i="6"/>
  <c r="X199" i="6"/>
  <c r="Y199" i="6"/>
  <c r="Y50" i="6"/>
  <c r="S50" i="6"/>
  <c r="X191" i="6"/>
  <c r="S191" i="6"/>
  <c r="AJ99" i="6"/>
  <c r="AK99" i="6"/>
  <c r="AP100" i="6"/>
  <c r="AQ100" i="6"/>
  <c r="Y116" i="6"/>
  <c r="S116" i="6"/>
  <c r="R158" i="6"/>
  <c r="S158" i="6"/>
  <c r="R154" i="6"/>
  <c r="S154" i="6"/>
  <c r="Y172" i="6"/>
  <c r="S172" i="6"/>
  <c r="W141" i="6"/>
  <c r="Y141" i="6" s="1"/>
  <c r="S141" i="6"/>
  <c r="AC196" i="6"/>
  <c r="AE196" i="6" s="1"/>
  <c r="AE195" i="6"/>
  <c r="AD199" i="6"/>
  <c r="AE199" i="6"/>
  <c r="Y38" i="6"/>
  <c r="S38" i="6"/>
  <c r="Y185" i="6"/>
  <c r="S185" i="6"/>
  <c r="X99" i="6"/>
  <c r="Y99" i="6"/>
  <c r="AP101" i="6"/>
  <c r="AQ101" i="6"/>
  <c r="Y121" i="6"/>
  <c r="S121" i="6"/>
  <c r="Y179" i="6"/>
  <c r="S179" i="6"/>
  <c r="AI196" i="6"/>
  <c r="AK196" i="6" s="1"/>
  <c r="AK195" i="6"/>
  <c r="AI203" i="6"/>
  <c r="AK203" i="6" s="1"/>
  <c r="AK199" i="6"/>
  <c r="R187" i="6"/>
  <c r="S118" i="6"/>
  <c r="R86" i="6"/>
  <c r="AC203" i="6"/>
  <c r="AE203" i="6" s="1"/>
  <c r="X187" i="6"/>
  <c r="X185" i="6"/>
  <c r="AE185" i="6"/>
  <c r="X174" i="6"/>
  <c r="AC174" i="6"/>
  <c r="AE174" i="6" s="1"/>
  <c r="R101" i="6"/>
  <c r="AP90" i="6"/>
  <c r="AJ95" i="6"/>
  <c r="AP97" i="6"/>
  <c r="R161" i="6"/>
  <c r="R155" i="6"/>
  <c r="X157" i="6"/>
  <c r="AD153" i="6"/>
  <c r="AD157" i="6"/>
  <c r="AJ155" i="6"/>
  <c r="AP153" i="6"/>
  <c r="AP157" i="6"/>
  <c r="AJ165" i="6"/>
  <c r="AP169" i="6"/>
  <c r="AJ199" i="6"/>
  <c r="X94" i="6"/>
  <c r="X98" i="6"/>
  <c r="X154" i="6"/>
  <c r="AC38" i="6"/>
  <c r="AC60" i="6"/>
  <c r="AC63" i="6" s="1"/>
  <c r="AJ90" i="6"/>
  <c r="AJ96" i="6"/>
  <c r="AP94" i="6"/>
  <c r="AP98" i="6"/>
  <c r="S123" i="6"/>
  <c r="AD154" i="6"/>
  <c r="AD158" i="6"/>
  <c r="AJ156" i="6"/>
  <c r="AP154" i="6"/>
  <c r="AP158" i="6"/>
  <c r="X165" i="6"/>
  <c r="AP165" i="6"/>
  <c r="AJ169" i="6"/>
  <c r="AP170" i="6"/>
  <c r="AJ195" i="6"/>
  <c r="AO203" i="6"/>
  <c r="AQ203" i="6" s="1"/>
  <c r="X90" i="6"/>
  <c r="X95" i="6"/>
  <c r="X156" i="6"/>
  <c r="W91" i="6"/>
  <c r="Y91" i="6" s="1"/>
  <c r="AJ97" i="6"/>
  <c r="AP95" i="6"/>
  <c r="AC115" i="6"/>
  <c r="R160" i="6"/>
  <c r="X155" i="6"/>
  <c r="X153" i="6"/>
  <c r="AD155" i="6"/>
  <c r="AJ153" i="6"/>
  <c r="AJ157" i="6"/>
  <c r="AP155" i="6"/>
  <c r="X170" i="6"/>
  <c r="AD169" i="6"/>
  <c r="AJ170" i="6"/>
  <c r="X195" i="6"/>
  <c r="X38" i="6"/>
  <c r="X96" i="6"/>
  <c r="X158" i="6"/>
  <c r="AD90" i="6"/>
  <c r="AI91" i="6"/>
  <c r="AK91" i="6" s="1"/>
  <c r="AJ94" i="6"/>
  <c r="AJ98" i="6"/>
  <c r="AP96" i="6"/>
  <c r="R156" i="6"/>
  <c r="AD156" i="6"/>
  <c r="AJ154" i="6"/>
  <c r="AJ158" i="6"/>
  <c r="AP156" i="6"/>
  <c r="AD165" i="6"/>
  <c r="X169" i="6"/>
  <c r="AD170" i="6"/>
  <c r="AD195" i="6"/>
  <c r="AP195" i="6"/>
  <c r="Y203" i="6"/>
  <c r="X97" i="6"/>
  <c r="Q188" i="6"/>
  <c r="S188" i="6" s="1"/>
  <c r="X100" i="6"/>
  <c r="Y28" i="6"/>
  <c r="R85" i="6"/>
  <c r="Y85" i="6"/>
  <c r="R100" i="6"/>
  <c r="AD101" i="6"/>
  <c r="R186" i="6"/>
  <c r="Y186" i="6"/>
  <c r="S102" i="6"/>
  <c r="Y29" i="6"/>
  <c r="R29" i="6"/>
  <c r="AO91" i="6"/>
  <c r="AQ91" i="6" s="1"/>
  <c r="R174" i="6"/>
  <c r="Q87" i="6"/>
  <c r="S87" i="6" s="1"/>
  <c r="AJ100" i="6"/>
  <c r="R159" i="6"/>
  <c r="Y159" i="6"/>
  <c r="R165" i="6"/>
  <c r="AC166" i="6"/>
  <c r="AE166" i="6" s="1"/>
  <c r="Y84" i="6"/>
  <c r="Y102" i="6"/>
  <c r="R157" i="6"/>
  <c r="W166" i="6"/>
  <c r="Y166" i="6" s="1"/>
  <c r="AI166" i="6"/>
  <c r="AK166" i="6" s="1"/>
  <c r="AC91" i="6"/>
  <c r="AE91" i="6" s="1"/>
  <c r="AO166" i="6"/>
  <c r="AQ166" i="6" s="1"/>
  <c r="R153" i="6"/>
  <c r="AP99" i="6"/>
  <c r="AO102" i="6"/>
  <c r="AQ102" i="6" s="1"/>
  <c r="AI102" i="6"/>
  <c r="AK102" i="6" s="1"/>
  <c r="AD99" i="6"/>
  <c r="X101" i="6"/>
  <c r="R99" i="6"/>
  <c r="S30" i="6" l="1"/>
  <c r="Q208" i="6"/>
  <c r="S150" i="6"/>
  <c r="Q176" i="6"/>
  <c r="AJ203" i="6"/>
  <c r="X60" i="6"/>
  <c r="X171" i="6"/>
  <c r="X172" i="6"/>
  <c r="X179" i="6"/>
  <c r="X76" i="6"/>
  <c r="X122" i="6"/>
  <c r="X105" i="6"/>
  <c r="X110" i="6"/>
  <c r="AP196" i="6"/>
  <c r="AE66" i="6"/>
  <c r="X116" i="6"/>
  <c r="AC116" i="6"/>
  <c r="AE116" i="6" s="1"/>
  <c r="X50" i="6"/>
  <c r="W123" i="6"/>
  <c r="Z223" i="6" s="1"/>
  <c r="X66" i="6"/>
  <c r="W182" i="6"/>
  <c r="Y182" i="6" s="1"/>
  <c r="AE171" i="6"/>
  <c r="AC76" i="6"/>
  <c r="AE76" i="6" s="1"/>
  <c r="AD196" i="6"/>
  <c r="AC122" i="6"/>
  <c r="AE122" i="6" s="1"/>
  <c r="AI38" i="6"/>
  <c r="AK38" i="6" s="1"/>
  <c r="AE38" i="6"/>
  <c r="AC161" i="6"/>
  <c r="AE161" i="6" s="1"/>
  <c r="Y161" i="6"/>
  <c r="AC86" i="6"/>
  <c r="AE86" i="6" s="1"/>
  <c r="Y86" i="6"/>
  <c r="R175" i="6"/>
  <c r="S175" i="6"/>
  <c r="AC160" i="6"/>
  <c r="AE160" i="6" s="1"/>
  <c r="AC110" i="6"/>
  <c r="AE110" i="6" s="1"/>
  <c r="X160" i="6"/>
  <c r="X126" i="6"/>
  <c r="AC126" i="6"/>
  <c r="AI126" i="6" s="1"/>
  <c r="AK126" i="6" s="1"/>
  <c r="X141" i="6"/>
  <c r="AI105" i="6"/>
  <c r="AK105" i="6" s="1"/>
  <c r="AE105" i="6"/>
  <c r="AE50" i="6"/>
  <c r="X121" i="6"/>
  <c r="AJ196" i="6"/>
  <c r="AI115" i="6"/>
  <c r="AK115" i="6" s="1"/>
  <c r="AE115" i="6"/>
  <c r="AC121" i="6"/>
  <c r="AD121" i="6" s="1"/>
  <c r="AI60" i="6"/>
  <c r="AE60" i="6"/>
  <c r="AC187" i="6"/>
  <c r="AE187" i="6" s="1"/>
  <c r="X115" i="6"/>
  <c r="Y115" i="6"/>
  <c r="AC191" i="6"/>
  <c r="Y191" i="6"/>
  <c r="AE63" i="6"/>
  <c r="Y118" i="6"/>
  <c r="W162" i="6"/>
  <c r="AD203" i="6"/>
  <c r="X203" i="6"/>
  <c r="AP203" i="6"/>
  <c r="AJ166" i="6"/>
  <c r="X166" i="6"/>
  <c r="X102" i="6"/>
  <c r="AD166" i="6"/>
  <c r="X29" i="6"/>
  <c r="X186" i="6"/>
  <c r="AC186" i="6"/>
  <c r="AE186" i="6" s="1"/>
  <c r="X85" i="6"/>
  <c r="X161" i="6"/>
  <c r="W188" i="6"/>
  <c r="Y188" i="6" s="1"/>
  <c r="AI172" i="6"/>
  <c r="AK172" i="6" s="1"/>
  <c r="AJ102" i="6"/>
  <c r="AP102" i="6"/>
  <c r="X84" i="6"/>
  <c r="X159" i="6"/>
  <c r="X28" i="6"/>
  <c r="AJ91" i="6"/>
  <c r="X91" i="6"/>
  <c r="AD60" i="6"/>
  <c r="AP166" i="6"/>
  <c r="AD91" i="6"/>
  <c r="AD115" i="6"/>
  <c r="AP91" i="6"/>
  <c r="X86" i="6"/>
  <c r="AD38" i="6"/>
  <c r="AD174" i="6"/>
  <c r="AI174" i="6"/>
  <c r="AK174" i="6" s="1"/>
  <c r="AD185" i="6"/>
  <c r="AI185" i="6"/>
  <c r="AK185" i="6" s="1"/>
  <c r="AD105" i="6"/>
  <c r="AC84" i="6"/>
  <c r="AE84" i="6" s="1"/>
  <c r="W87" i="6"/>
  <c r="Y87" i="6" s="1"/>
  <c r="AC159" i="6"/>
  <c r="AE159" i="6" s="1"/>
  <c r="AC85" i="6"/>
  <c r="AE85" i="6" s="1"/>
  <c r="AC29" i="6"/>
  <c r="AE29" i="6" s="1"/>
  <c r="AE28" i="6"/>
  <c r="Y30" i="6"/>
  <c r="R191" i="6"/>
  <c r="R188" i="6"/>
  <c r="R185" i="6"/>
  <c r="R173" i="6"/>
  <c r="R172" i="6"/>
  <c r="R171" i="6"/>
  <c r="R170" i="6"/>
  <c r="R169" i="6"/>
  <c r="R149" i="6"/>
  <c r="R131" i="6"/>
  <c r="R126" i="6"/>
  <c r="R123" i="6"/>
  <c r="R122" i="6"/>
  <c r="R121" i="6"/>
  <c r="R118" i="6"/>
  <c r="R116" i="6"/>
  <c r="R115" i="6"/>
  <c r="R110" i="6"/>
  <c r="R106" i="6"/>
  <c r="R105" i="6"/>
  <c r="R98" i="6"/>
  <c r="R97" i="6"/>
  <c r="R96" i="6"/>
  <c r="R95" i="6"/>
  <c r="R94" i="6"/>
  <c r="R91" i="6"/>
  <c r="R90" i="6"/>
  <c r="R84" i="6"/>
  <c r="R76" i="6"/>
  <c r="R66" i="6"/>
  <c r="R60" i="6"/>
  <c r="R50" i="6"/>
  <c r="R38" i="6"/>
  <c r="R28" i="6"/>
  <c r="R19" i="6"/>
  <c r="S42" i="6"/>
  <c r="Q210" i="6" l="1"/>
  <c r="R208" i="6"/>
  <c r="R210" i="6" s="1"/>
  <c r="S208" i="6"/>
  <c r="S210" i="6" s="1"/>
  <c r="AK60" i="6"/>
  <c r="AI63" i="6"/>
  <c r="AK63" i="6" s="1"/>
  <c r="S51" i="6"/>
  <c r="S57" i="6"/>
  <c r="S41" i="6"/>
  <c r="S176" i="6"/>
  <c r="T224" i="6"/>
  <c r="Y123" i="6"/>
  <c r="AI187" i="6"/>
  <c r="AK187" i="6" s="1"/>
  <c r="AC123" i="6"/>
  <c r="AE123" i="6" s="1"/>
  <c r="AJ105" i="6"/>
  <c r="AI160" i="6"/>
  <c r="AK160" i="6" s="1"/>
  <c r="AO105" i="6"/>
  <c r="AQ105" i="6" s="1"/>
  <c r="AD187" i="6"/>
  <c r="AD160" i="6"/>
  <c r="AC118" i="6"/>
  <c r="AE118" i="6" s="1"/>
  <c r="AI116" i="6"/>
  <c r="AJ116" i="6" s="1"/>
  <c r="AD116" i="6"/>
  <c r="AI66" i="6"/>
  <c r="AK66" i="6" s="1"/>
  <c r="AD122" i="6"/>
  <c r="AD50" i="6"/>
  <c r="AO60" i="6"/>
  <c r="AI171" i="6"/>
  <c r="AK171" i="6" s="1"/>
  <c r="AD66" i="6"/>
  <c r="AD63" i="6"/>
  <c r="AI86" i="6"/>
  <c r="AK86" i="6" s="1"/>
  <c r="AO38" i="6"/>
  <c r="AQ38" i="6" s="1"/>
  <c r="AD171" i="6"/>
  <c r="AJ38" i="6"/>
  <c r="X182" i="6"/>
  <c r="X123" i="6"/>
  <c r="AC67" i="6"/>
  <c r="AE67" i="6" s="1"/>
  <c r="AI76" i="6"/>
  <c r="AK76" i="6" s="1"/>
  <c r="AD126" i="6"/>
  <c r="AD86" i="6"/>
  <c r="AD76" i="6"/>
  <c r="AJ60" i="6"/>
  <c r="AI122" i="6"/>
  <c r="AK122" i="6" s="1"/>
  <c r="AE191" i="6"/>
  <c r="AD191" i="6"/>
  <c r="AI191" i="6"/>
  <c r="AC192" i="6"/>
  <c r="Y15" i="6"/>
  <c r="S15" i="6"/>
  <c r="Y24" i="6"/>
  <c r="S24" i="6"/>
  <c r="Y34" i="6"/>
  <c r="S34" i="6"/>
  <c r="Y56" i="6"/>
  <c r="S56" i="6"/>
  <c r="AO115" i="6"/>
  <c r="AQ115" i="6" s="1"/>
  <c r="Y23" i="6"/>
  <c r="S23" i="6"/>
  <c r="AI161" i="6"/>
  <c r="AK161" i="6" s="1"/>
  <c r="AJ115" i="6"/>
  <c r="AI121" i="6"/>
  <c r="AE121" i="6"/>
  <c r="AC128" i="6"/>
  <c r="AE126" i="6"/>
  <c r="Y14" i="6"/>
  <c r="S14" i="6"/>
  <c r="AI110" i="6"/>
  <c r="AK110" i="6" s="1"/>
  <c r="AI50" i="6"/>
  <c r="AK50" i="6" s="1"/>
  <c r="AD110" i="6"/>
  <c r="AD161" i="6"/>
  <c r="X162" i="6"/>
  <c r="Y162" i="6"/>
  <c r="AI128" i="6"/>
  <c r="AK128" i="6" s="1"/>
  <c r="AJ126" i="6"/>
  <c r="AO126" i="6"/>
  <c r="R14" i="6"/>
  <c r="AD28" i="6"/>
  <c r="AJ185" i="6"/>
  <c r="AO185" i="6"/>
  <c r="AQ185" i="6" s="1"/>
  <c r="X56" i="6"/>
  <c r="AD85" i="6"/>
  <c r="X87" i="6"/>
  <c r="AJ172" i="6"/>
  <c r="AO172" i="6"/>
  <c r="AQ172" i="6" s="1"/>
  <c r="AD84" i="6"/>
  <c r="X188" i="6"/>
  <c r="X14" i="6"/>
  <c r="X30" i="6"/>
  <c r="AD29" i="6"/>
  <c r="AD159" i="6"/>
  <c r="AJ174" i="6"/>
  <c r="AO174" i="6"/>
  <c r="AQ174" i="6" s="1"/>
  <c r="AD186" i="6"/>
  <c r="AI186" i="6"/>
  <c r="AK186" i="6" s="1"/>
  <c r="AC188" i="6"/>
  <c r="AE188" i="6" s="1"/>
  <c r="AC15" i="6"/>
  <c r="AE15" i="6" s="1"/>
  <c r="R15" i="6"/>
  <c r="R24" i="6"/>
  <c r="AI84" i="6"/>
  <c r="AK84" i="6" s="1"/>
  <c r="AC87" i="6"/>
  <c r="AE87" i="6" s="1"/>
  <c r="Y51" i="6"/>
  <c r="R34" i="6"/>
  <c r="Y42" i="6"/>
  <c r="R51" i="6"/>
  <c r="AI29" i="6"/>
  <c r="AK29" i="6" s="1"/>
  <c r="AI85" i="6"/>
  <c r="AK85" i="6" s="1"/>
  <c r="AI159" i="6"/>
  <c r="AK159" i="6" s="1"/>
  <c r="AC162" i="6"/>
  <c r="AE162" i="6" s="1"/>
  <c r="Y41" i="6"/>
  <c r="R23" i="6"/>
  <c r="R56" i="6"/>
  <c r="AI28" i="6"/>
  <c r="AK28" i="6" s="1"/>
  <c r="AC30" i="6"/>
  <c r="R42" i="6"/>
  <c r="R41" i="6"/>
  <c r="AE30" i="6" l="1"/>
  <c r="AQ60" i="6"/>
  <c r="AO63" i="6"/>
  <c r="AQ63" i="6" s="1"/>
  <c r="AO160" i="6"/>
  <c r="AQ160" i="6" s="1"/>
  <c r="AD123" i="6"/>
  <c r="AJ187" i="6"/>
  <c r="AO187" i="6"/>
  <c r="AQ187" i="6" s="1"/>
  <c r="AJ160" i="6"/>
  <c r="AO66" i="6"/>
  <c r="AQ66" i="6" s="1"/>
  <c r="AP38" i="6"/>
  <c r="AO110" i="6"/>
  <c r="AQ110" i="6" s="1"/>
  <c r="AP105" i="6"/>
  <c r="AJ66" i="6"/>
  <c r="AK116" i="6"/>
  <c r="AO116" i="6"/>
  <c r="AQ116" i="6" s="1"/>
  <c r="AI118" i="6"/>
  <c r="AK118" i="6" s="1"/>
  <c r="AD118" i="6"/>
  <c r="AI67" i="6"/>
  <c r="AK67" i="6" s="1"/>
  <c r="AI123" i="6"/>
  <c r="AK123" i="6" s="1"/>
  <c r="AO76" i="6"/>
  <c r="AQ76" i="6" s="1"/>
  <c r="AD67" i="6"/>
  <c r="AO171" i="6"/>
  <c r="AQ171" i="6" s="1"/>
  <c r="AO86" i="6"/>
  <c r="AQ86" i="6" s="1"/>
  <c r="AC14" i="6"/>
  <c r="AE14" i="6" s="1"/>
  <c r="AJ86" i="6"/>
  <c r="AJ171" i="6"/>
  <c r="AP60" i="6"/>
  <c r="X15" i="6"/>
  <c r="AO161" i="6"/>
  <c r="AQ161" i="6" s="1"/>
  <c r="AJ122" i="6"/>
  <c r="AE56" i="6"/>
  <c r="AJ76" i="6"/>
  <c r="AJ161" i="6"/>
  <c r="X24" i="6"/>
  <c r="AO122" i="6"/>
  <c r="AQ122" i="6" s="1"/>
  <c r="AC24" i="6"/>
  <c r="AE24" i="6" s="1"/>
  <c r="AP126" i="6"/>
  <c r="AQ126" i="6"/>
  <c r="AE192" i="6"/>
  <c r="AD192" i="6"/>
  <c r="AE23" i="6"/>
  <c r="AJ50" i="6"/>
  <c r="X23" i="6"/>
  <c r="AE128" i="6"/>
  <c r="AD128" i="6"/>
  <c r="AK191" i="6"/>
  <c r="AO191" i="6"/>
  <c r="AI192" i="6"/>
  <c r="AJ191" i="6"/>
  <c r="AP115" i="6"/>
  <c r="AJ110" i="6"/>
  <c r="AO50" i="6"/>
  <c r="AQ50" i="6" s="1"/>
  <c r="AC34" i="6"/>
  <c r="AE34" i="6" s="1"/>
  <c r="AJ63" i="6"/>
  <c r="X34" i="6"/>
  <c r="AK121" i="6"/>
  <c r="AJ121" i="6"/>
  <c r="AO121" i="6"/>
  <c r="AJ128" i="6"/>
  <c r="AO128" i="6"/>
  <c r="AQ128" i="6" s="1"/>
  <c r="AD30" i="6"/>
  <c r="AD162" i="6"/>
  <c r="AD87" i="6"/>
  <c r="AJ186" i="6"/>
  <c r="AO186" i="6"/>
  <c r="AJ28" i="6"/>
  <c r="AJ159" i="6"/>
  <c r="AJ29" i="6"/>
  <c r="X42" i="6"/>
  <c r="AJ84" i="6"/>
  <c r="AP174" i="6"/>
  <c r="AD15" i="6"/>
  <c r="AP172" i="6"/>
  <c r="AI188" i="6"/>
  <c r="AK188" i="6" s="1"/>
  <c r="AJ85" i="6"/>
  <c r="X41" i="6"/>
  <c r="X51" i="6"/>
  <c r="AD188" i="6"/>
  <c r="AP185" i="6"/>
  <c r="AO84" i="6"/>
  <c r="AQ84" i="6" s="1"/>
  <c r="AI87" i="6"/>
  <c r="AK87" i="6" s="1"/>
  <c r="AC41" i="6"/>
  <c r="AE41" i="6" s="1"/>
  <c r="AO85" i="6"/>
  <c r="AQ85" i="6" s="1"/>
  <c r="AC42" i="6"/>
  <c r="AE42" i="6" s="1"/>
  <c r="R57" i="6"/>
  <c r="AO159" i="6"/>
  <c r="AQ159" i="6" s="1"/>
  <c r="AI162" i="6"/>
  <c r="AK162" i="6" s="1"/>
  <c r="AO29" i="6"/>
  <c r="AQ29" i="6" s="1"/>
  <c r="AC51" i="6"/>
  <c r="AE51" i="6" s="1"/>
  <c r="W57" i="6"/>
  <c r="Y57" i="6" s="1"/>
  <c r="AO28" i="6"/>
  <c r="AQ28" i="6" s="1"/>
  <c r="AI30" i="6"/>
  <c r="AI15" i="6"/>
  <c r="AK15" i="6" s="1"/>
  <c r="J235" i="6"/>
  <c r="E225" i="6"/>
  <c r="F225" i="6"/>
  <c r="F233" i="6"/>
  <c r="F232" i="6"/>
  <c r="F231" i="6"/>
  <c r="F229" i="6"/>
  <c r="F228" i="6"/>
  <c r="F227" i="6"/>
  <c r="F226" i="6"/>
  <c r="F224" i="6"/>
  <c r="F223" i="6"/>
  <c r="F221" i="6"/>
  <c r="E233" i="6"/>
  <c r="E232" i="6"/>
  <c r="E231" i="6"/>
  <c r="E229" i="6"/>
  <c r="E228" i="6"/>
  <c r="E227" i="6"/>
  <c r="E226" i="6"/>
  <c r="E224" i="6"/>
  <c r="E223" i="6"/>
  <c r="E221" i="6"/>
  <c r="E222" i="6"/>
  <c r="L213" i="6"/>
  <c r="G216" i="6"/>
  <c r="M214" i="6"/>
  <c r="M217" i="6"/>
  <c r="S192" i="6"/>
  <c r="AK30" i="6" l="1"/>
  <c r="AP160" i="6"/>
  <c r="L216" i="6"/>
  <c r="G218" i="6"/>
  <c r="AP63" i="6"/>
  <c r="AP76" i="6"/>
  <c r="AP110" i="6"/>
  <c r="AP187" i="6"/>
  <c r="AO67" i="6"/>
  <c r="AQ67" i="6" s="1"/>
  <c r="AP66" i="6"/>
  <c r="AD14" i="6"/>
  <c r="AI14" i="6"/>
  <c r="AK14" i="6" s="1"/>
  <c r="AO118" i="6"/>
  <c r="AQ118" i="6" s="1"/>
  <c r="AJ118" i="6"/>
  <c r="AP116" i="6"/>
  <c r="AP171" i="6"/>
  <c r="AJ123" i="6"/>
  <c r="AD56" i="6"/>
  <c r="AJ67" i="6"/>
  <c r="AI24" i="6"/>
  <c r="AK24" i="6" s="1"/>
  <c r="AP50" i="6"/>
  <c r="AI34" i="6"/>
  <c r="AK34" i="6" s="1"/>
  <c r="AP86" i="6"/>
  <c r="AP161" i="6"/>
  <c r="AI56" i="6"/>
  <c r="AK56" i="6" s="1"/>
  <c r="AD24" i="6"/>
  <c r="AP122" i="6"/>
  <c r="AQ121" i="6"/>
  <c r="AP121" i="6"/>
  <c r="AD23" i="6"/>
  <c r="AO123" i="6"/>
  <c r="AQ123" i="6" s="1"/>
  <c r="AK192" i="6"/>
  <c r="AJ192" i="6"/>
  <c r="AI23" i="6"/>
  <c r="AK23" i="6" s="1"/>
  <c r="AD34" i="6"/>
  <c r="AO188" i="6"/>
  <c r="AQ188" i="6" s="1"/>
  <c r="AQ186" i="6"/>
  <c r="AQ191" i="6"/>
  <c r="AP191" i="6"/>
  <c r="AO192" i="6"/>
  <c r="AP128" i="6"/>
  <c r="M216" i="6"/>
  <c r="M213" i="6"/>
  <c r="AJ15" i="6"/>
  <c r="AP28" i="6"/>
  <c r="AJ162" i="6"/>
  <c r="AD42" i="6"/>
  <c r="AP84" i="6"/>
  <c r="L217" i="6"/>
  <c r="AP159" i="6"/>
  <c r="AP85" i="6"/>
  <c r="X57" i="6"/>
  <c r="AD41" i="6"/>
  <c r="AJ188" i="6"/>
  <c r="AJ30" i="6"/>
  <c r="AD51" i="6"/>
  <c r="AP29" i="6"/>
  <c r="AJ87" i="6"/>
  <c r="AP186" i="6"/>
  <c r="AO15" i="6"/>
  <c r="AQ15" i="6" s="1"/>
  <c r="AI41" i="6"/>
  <c r="AK41" i="6" s="1"/>
  <c r="N16" i="6"/>
  <c r="AO30" i="6"/>
  <c r="AO162" i="6"/>
  <c r="AQ162" i="6" s="1"/>
  <c r="AI42" i="6"/>
  <c r="AK42" i="6" s="1"/>
  <c r="AI51" i="6"/>
  <c r="AK51" i="6" s="1"/>
  <c r="AC57" i="6"/>
  <c r="AE57" i="6" s="1"/>
  <c r="AO87" i="6"/>
  <c r="AQ87" i="6" s="1"/>
  <c r="R166" i="6"/>
  <c r="R192" i="6"/>
  <c r="F222" i="6"/>
  <c r="L214" i="6"/>
  <c r="L215" i="6"/>
  <c r="M215" i="6"/>
  <c r="AQ30" i="6" l="1"/>
  <c r="AJ14" i="6"/>
  <c r="AO14" i="6"/>
  <c r="AQ14" i="6" s="1"/>
  <c r="AP67" i="6"/>
  <c r="AO56" i="6"/>
  <c r="AQ56" i="6" s="1"/>
  <c r="AJ34" i="6"/>
  <c r="AP118" i="6"/>
  <c r="AJ24" i="6"/>
  <c r="AO24" i="6"/>
  <c r="AQ24" i="6" s="1"/>
  <c r="AO34" i="6"/>
  <c r="AQ34" i="6" s="1"/>
  <c r="AJ23" i="6"/>
  <c r="AJ56" i="6"/>
  <c r="AP123" i="6"/>
  <c r="AO23" i="6"/>
  <c r="AQ23" i="6" s="1"/>
  <c r="AQ192" i="6"/>
  <c r="AP192" i="6"/>
  <c r="AP188" i="6"/>
  <c r="AP162" i="6"/>
  <c r="AP87" i="6"/>
  <c r="AJ51" i="6"/>
  <c r="AJ42" i="6"/>
  <c r="AJ41" i="6"/>
  <c r="AD57" i="6"/>
  <c r="AP30" i="6"/>
  <c r="N87" i="6"/>
  <c r="AP15" i="6"/>
  <c r="AO42" i="6"/>
  <c r="AQ42" i="6" s="1"/>
  <c r="AO41" i="6"/>
  <c r="AQ41" i="6" s="1"/>
  <c r="AO51" i="6"/>
  <c r="AQ51" i="6" s="1"/>
  <c r="AI57" i="6"/>
  <c r="AK57" i="6" s="1"/>
  <c r="W192" i="6"/>
  <c r="Y192" i="6" s="1"/>
  <c r="AP14" i="6" l="1"/>
  <c r="AP56" i="6"/>
  <c r="AP34" i="6"/>
  <c r="AP24" i="6"/>
  <c r="AP23" i="6"/>
  <c r="AP42" i="6"/>
  <c r="AP41" i="6"/>
  <c r="X192" i="6"/>
  <c r="AJ57" i="6"/>
  <c r="AP51" i="6"/>
  <c r="AO57" i="6"/>
  <c r="AQ57" i="6" s="1"/>
  <c r="AP57" i="6" l="1"/>
  <c r="G23" i="3"/>
  <c r="I33" i="3"/>
  <c r="G59" i="3"/>
  <c r="G24" i="7"/>
  <c r="G23" i="7"/>
  <c r="G22" i="7"/>
  <c r="I71" i="3"/>
  <c r="I12" i="3"/>
  <c r="N102" i="6"/>
  <c r="G83" i="3" l="1"/>
  <c r="G86" i="3"/>
  <c r="G90" i="3" s="1"/>
  <c r="G50" i="3"/>
  <c r="G48" i="3"/>
  <c r="G47" i="3"/>
  <c r="G52" i="3"/>
  <c r="G51" i="3"/>
  <c r="G49" i="3"/>
  <c r="N171" i="6"/>
  <c r="N172" i="6"/>
  <c r="N107" i="6"/>
  <c r="N173" i="6"/>
  <c r="N150" i="6"/>
  <c r="N176" i="6"/>
  <c r="N170" i="6"/>
  <c r="E65" i="3"/>
  <c r="I65" i="3" s="1"/>
  <c r="K65" i="3" s="1"/>
  <c r="N149" i="6"/>
  <c r="N169" i="6"/>
  <c r="N175" i="6"/>
  <c r="N206" i="6" s="1"/>
  <c r="N47" i="6"/>
  <c r="G233" i="6"/>
  <c r="N73" i="6"/>
  <c r="N25" i="6"/>
  <c r="N57" i="6"/>
  <c r="N81" i="6"/>
  <c r="N30" i="6"/>
  <c r="N63" i="6"/>
  <c r="N91" i="6"/>
  <c r="N35" i="6"/>
  <c r="N67" i="6"/>
  <c r="G223" i="6"/>
  <c r="G221" i="6" s="1"/>
  <c r="G232" i="6"/>
  <c r="G24" i="3"/>
  <c r="G93" i="3" l="1"/>
  <c r="G139" i="3"/>
  <c r="G111" i="3"/>
  <c r="G127" i="3"/>
  <c r="G119" i="3"/>
  <c r="G107" i="3"/>
  <c r="G143" i="3"/>
  <c r="G141" i="3"/>
  <c r="G113" i="3"/>
  <c r="G115" i="3"/>
  <c r="G137" i="3"/>
  <c r="G129" i="3"/>
  <c r="G123" i="3"/>
  <c r="G100" i="3"/>
  <c r="G104" i="3" s="1"/>
  <c r="G109" i="3"/>
  <c r="G148" i="3"/>
  <c r="G121" i="3"/>
  <c r="G117" i="3"/>
  <c r="G125" i="3"/>
  <c r="G63" i="3"/>
  <c r="G54" i="3"/>
  <c r="N214" i="6"/>
  <c r="N213" i="6"/>
  <c r="N215" i="6"/>
  <c r="N216" i="6"/>
  <c r="N217" i="6"/>
  <c r="G61" i="3"/>
  <c r="G145" i="3" l="1"/>
  <c r="G131" i="3"/>
  <c r="N203" i="6"/>
  <c r="N205" i="6" s="1"/>
  <c r="N145" i="6"/>
  <c r="N138" i="6"/>
  <c r="N128" i="6"/>
  <c r="N123" i="6"/>
  <c r="N118" i="6"/>
  <c r="N112" i="6"/>
  <c r="G28" i="7"/>
  <c r="G27" i="7"/>
  <c r="J18" i="7"/>
  <c r="I18" i="7"/>
  <c r="H18" i="7"/>
  <c r="G21" i="7"/>
  <c r="G20" i="7"/>
  <c r="G19" i="7"/>
  <c r="Y149" i="6"/>
  <c r="Y173" i="6"/>
  <c r="S128" i="6"/>
  <c r="S132" i="6"/>
  <c r="S133" i="6"/>
  <c r="S134" i="6"/>
  <c r="S135" i="6"/>
  <c r="S136" i="6"/>
  <c r="S137" i="6"/>
  <c r="S144" i="6"/>
  <c r="S142" i="6"/>
  <c r="S111" i="6"/>
  <c r="S33" i="6" l="1"/>
  <c r="S35" i="6"/>
  <c r="G153" i="3"/>
  <c r="G155" i="3" s="1"/>
  <c r="X173" i="6"/>
  <c r="AC173" i="6"/>
  <c r="AE173" i="6" s="1"/>
  <c r="W175" i="6"/>
  <c r="Y175" i="6" s="1"/>
  <c r="X149" i="6"/>
  <c r="R141" i="6"/>
  <c r="Y136" i="6"/>
  <c r="R136" i="6"/>
  <c r="R133" i="6"/>
  <c r="AC149" i="6"/>
  <c r="AE149" i="6" s="1"/>
  <c r="Y137" i="6"/>
  <c r="R137" i="6"/>
  <c r="S196" i="6"/>
  <c r="R195" i="6"/>
  <c r="Y111" i="6"/>
  <c r="R111" i="6"/>
  <c r="R142" i="6"/>
  <c r="Y135" i="6"/>
  <c r="R135" i="6"/>
  <c r="Y132" i="6"/>
  <c r="R132" i="6"/>
  <c r="R199" i="6"/>
  <c r="Y33" i="6"/>
  <c r="R33" i="6"/>
  <c r="W144" i="6"/>
  <c r="R144" i="6"/>
  <c r="R134" i="6"/>
  <c r="R128" i="6"/>
  <c r="R179" i="6"/>
  <c r="R162" i="6"/>
  <c r="R206" i="6" s="1"/>
  <c r="S182" i="6"/>
  <c r="H26" i="7"/>
  <c r="D2" i="6" s="1"/>
  <c r="Y133" i="6"/>
  <c r="Y134" i="6"/>
  <c r="Y131" i="6"/>
  <c r="W142" i="6"/>
  <c r="Y142" i="6" s="1"/>
  <c r="AC179" i="6"/>
  <c r="AE179" i="6" s="1"/>
  <c r="S112" i="6"/>
  <c r="Q203" i="6"/>
  <c r="S203" i="6" l="1"/>
  <c r="T6" i="6"/>
  <c r="J209" i="6"/>
  <c r="J79" i="6"/>
  <c r="J43" i="6"/>
  <c r="J55" i="6"/>
  <c r="J44" i="6"/>
  <c r="J46" i="6"/>
  <c r="J117" i="6"/>
  <c r="J62" i="6"/>
  <c r="J45" i="6"/>
  <c r="J202" i="6"/>
  <c r="J143" i="6"/>
  <c r="J52" i="6"/>
  <c r="J201" i="6"/>
  <c r="J200" i="6"/>
  <c r="J71" i="6"/>
  <c r="J53" i="6"/>
  <c r="J127" i="6"/>
  <c r="J61" i="6"/>
  <c r="J54" i="6"/>
  <c r="S145" i="6"/>
  <c r="T226" i="6"/>
  <c r="S138" i="6"/>
  <c r="T223" i="6"/>
  <c r="AC144" i="6"/>
  <c r="AE144" i="6" s="1"/>
  <c r="Y144" i="6"/>
  <c r="X142" i="6"/>
  <c r="J142" i="6" s="1"/>
  <c r="W145" i="6"/>
  <c r="X131" i="6"/>
  <c r="J131" i="6" s="1"/>
  <c r="X33" i="6"/>
  <c r="Y206" i="6"/>
  <c r="X175" i="6"/>
  <c r="X206" i="6" s="1"/>
  <c r="J206" i="6" s="1"/>
  <c r="I86" i="3" s="1"/>
  <c r="I90" i="3" s="1"/>
  <c r="K90" i="3" s="1"/>
  <c r="AC134" i="6"/>
  <c r="X134" i="6"/>
  <c r="X144" i="6"/>
  <c r="J144" i="6" s="1"/>
  <c r="X137" i="6"/>
  <c r="J137" i="6" s="1"/>
  <c r="AC136" i="6"/>
  <c r="X136" i="6"/>
  <c r="AD173" i="6"/>
  <c r="AI173" i="6"/>
  <c r="AK173" i="6" s="1"/>
  <c r="AC175" i="6"/>
  <c r="AE175" i="6" s="1"/>
  <c r="AD179" i="6"/>
  <c r="AC133" i="6"/>
  <c r="X133" i="6"/>
  <c r="J133" i="6" s="1"/>
  <c r="X135" i="6"/>
  <c r="J135" i="6" s="1"/>
  <c r="AD149" i="6"/>
  <c r="X132" i="6"/>
  <c r="J132" i="6" s="1"/>
  <c r="X111" i="6"/>
  <c r="W150" i="6"/>
  <c r="Y150" i="6" s="1"/>
  <c r="J221" i="6"/>
  <c r="J214" i="6"/>
  <c r="J213" i="6"/>
  <c r="J215" i="6"/>
  <c r="J216" i="6"/>
  <c r="J217" i="6"/>
  <c r="I38" i="3" s="1"/>
  <c r="K38" i="3" s="1"/>
  <c r="AC132" i="6"/>
  <c r="AE132" i="6" s="1"/>
  <c r="R203" i="6"/>
  <c r="R112" i="6"/>
  <c r="R138" i="6"/>
  <c r="AC135" i="6"/>
  <c r="AE135" i="6" s="1"/>
  <c r="R196" i="6"/>
  <c r="AI149" i="6"/>
  <c r="AK149" i="6" s="1"/>
  <c r="AC131" i="6"/>
  <c r="Y138" i="6"/>
  <c r="W35" i="6"/>
  <c r="AC33" i="6"/>
  <c r="AE33" i="6" s="1"/>
  <c r="AC111" i="6"/>
  <c r="AE111" i="6" s="1"/>
  <c r="Y112" i="6"/>
  <c r="R145" i="6"/>
  <c r="J225" i="6"/>
  <c r="J231" i="6"/>
  <c r="R182" i="6"/>
  <c r="R35" i="6"/>
  <c r="AC137" i="6"/>
  <c r="AE137" i="6" s="1"/>
  <c r="S206" i="6"/>
  <c r="R176" i="6"/>
  <c r="R150" i="6"/>
  <c r="J191" i="6"/>
  <c r="J192" i="6"/>
  <c r="J186" i="6"/>
  <c r="J185" i="6"/>
  <c r="J187" i="6"/>
  <c r="J188" i="6"/>
  <c r="J174" i="6"/>
  <c r="J164" i="6"/>
  <c r="J165" i="6"/>
  <c r="J163" i="6"/>
  <c r="J166" i="6"/>
  <c r="J158" i="6"/>
  <c r="J156" i="6"/>
  <c r="J160" i="6"/>
  <c r="J157" i="6"/>
  <c r="J161" i="6"/>
  <c r="J159" i="6"/>
  <c r="J100" i="6"/>
  <c r="J101" i="6"/>
  <c r="J99" i="6"/>
  <c r="J51" i="6"/>
  <c r="J56" i="6"/>
  <c r="J41" i="6"/>
  <c r="J42" i="6"/>
  <c r="J34" i="6"/>
  <c r="J23" i="6"/>
  <c r="J24" i="6"/>
  <c r="J15" i="6"/>
  <c r="J14" i="6"/>
  <c r="Y128" i="6"/>
  <c r="J222" i="6"/>
  <c r="J227" i="6"/>
  <c r="J232" i="6"/>
  <c r="I57" i="3" s="1"/>
  <c r="J223" i="6"/>
  <c r="J228" i="6"/>
  <c r="J233" i="6"/>
  <c r="I59" i="3" s="1"/>
  <c r="J224" i="6"/>
  <c r="J229" i="6"/>
  <c r="J226" i="6"/>
  <c r="J29" i="6"/>
  <c r="J57" i="6"/>
  <c r="I113" i="3" s="1"/>
  <c r="K113" i="3" s="1"/>
  <c r="J86" i="6"/>
  <c r="J91" i="6"/>
  <c r="I125" i="3" s="1"/>
  <c r="K125" i="3" s="1"/>
  <c r="J98" i="6"/>
  <c r="J111" i="6"/>
  <c r="J122" i="6"/>
  <c r="J136" i="6"/>
  <c r="J153" i="6"/>
  <c r="J168" i="6"/>
  <c r="J195" i="6"/>
  <c r="J110" i="6"/>
  <c r="J84" i="6"/>
  <c r="J60" i="6"/>
  <c r="J28" i="6"/>
  <c r="J95" i="6"/>
  <c r="J123" i="6"/>
  <c r="I139" i="3" s="1"/>
  <c r="K139" i="3" s="1"/>
  <c r="J154" i="6"/>
  <c r="J169" i="6"/>
  <c r="J172" i="6"/>
  <c r="J179" i="6"/>
  <c r="J126" i="6"/>
  <c r="J105" i="6"/>
  <c r="J76" i="6"/>
  <c r="J50" i="6"/>
  <c r="J96" i="6"/>
  <c r="J116" i="6"/>
  <c r="J134" i="6"/>
  <c r="J151" i="6"/>
  <c r="J155" i="6"/>
  <c r="J170" i="6"/>
  <c r="J173" i="6"/>
  <c r="J162" i="6"/>
  <c r="J141" i="6"/>
  <c r="J94" i="6"/>
  <c r="J38" i="6"/>
  <c r="J97" i="6"/>
  <c r="J171" i="6"/>
  <c r="J149" i="6"/>
  <c r="J90" i="6"/>
  <c r="J33" i="6"/>
  <c r="K83" i="3"/>
  <c r="J175" i="6"/>
  <c r="J121" i="6"/>
  <c r="J85" i="6"/>
  <c r="J118" i="6"/>
  <c r="I137" i="3" s="1"/>
  <c r="K137" i="3" s="1"/>
  <c r="J152" i="6"/>
  <c r="J199" i="6"/>
  <c r="J115" i="6"/>
  <c r="J66" i="6"/>
  <c r="AC141" i="6"/>
  <c r="AE141" i="6" s="1"/>
  <c r="AC142" i="6"/>
  <c r="AE142" i="6" s="1"/>
  <c r="Y106" i="6"/>
  <c r="S107" i="6"/>
  <c r="W196" i="6"/>
  <c r="Y196" i="6" s="1"/>
  <c r="AI179" i="6"/>
  <c r="AK179" i="6" s="1"/>
  <c r="AC182" i="6"/>
  <c r="S80" i="6"/>
  <c r="S78" i="6"/>
  <c r="S72" i="6"/>
  <c r="S40" i="6"/>
  <c r="S22" i="6"/>
  <c r="S21" i="6"/>
  <c r="B1" i="6"/>
  <c r="C1" i="6" s="1"/>
  <c r="D1" i="6" s="1"/>
  <c r="E1" i="6" s="1"/>
  <c r="F1" i="6" s="1"/>
  <c r="G1" i="6" s="1"/>
  <c r="H1" i="6" s="1"/>
  <c r="I1" i="6" s="1"/>
  <c r="J1" i="6" s="1"/>
  <c r="K1" i="6" s="1"/>
  <c r="L1" i="6" s="1"/>
  <c r="AE131" i="6" l="1"/>
  <c r="AC138" i="6"/>
  <c r="AE182" i="6"/>
  <c r="Y35" i="6"/>
  <c r="S39" i="6"/>
  <c r="S47" i="6"/>
  <c r="S70" i="6"/>
  <c r="S73" i="6"/>
  <c r="S77" i="6"/>
  <c r="S81" i="6"/>
  <c r="S25" i="6"/>
  <c r="S13" i="6"/>
  <c r="S20" i="6"/>
  <c r="Y145" i="6"/>
  <c r="Z226" i="6"/>
  <c r="J182" i="6"/>
  <c r="J203" i="6"/>
  <c r="AI144" i="6"/>
  <c r="AK144" i="6" s="1"/>
  <c r="AD144" i="6"/>
  <c r="AI136" i="6"/>
  <c r="AK136" i="6" s="1"/>
  <c r="AE136" i="6"/>
  <c r="AI134" i="6"/>
  <c r="AK134" i="6" s="1"/>
  <c r="AE134" i="6"/>
  <c r="AI133" i="6"/>
  <c r="AK133" i="6" s="1"/>
  <c r="AE133" i="6"/>
  <c r="I37" i="3"/>
  <c r="I36" i="3"/>
  <c r="R205" i="6"/>
  <c r="AC150" i="6"/>
  <c r="S205" i="6"/>
  <c r="K86" i="3"/>
  <c r="AD141" i="6"/>
  <c r="AC106" i="6"/>
  <c r="X106" i="6"/>
  <c r="J106" i="6" s="1"/>
  <c r="AD33" i="6"/>
  <c r="AD135" i="6"/>
  <c r="AD133" i="6"/>
  <c r="AJ173" i="6"/>
  <c r="AO173" i="6"/>
  <c r="AQ173" i="6" s="1"/>
  <c r="AI175" i="6"/>
  <c r="AK175" i="6" s="1"/>
  <c r="AJ179" i="6"/>
  <c r="AD142" i="6"/>
  <c r="X112" i="6"/>
  <c r="J112" i="6" s="1"/>
  <c r="I135" i="3" s="1"/>
  <c r="K135" i="3" s="1"/>
  <c r="X35" i="6"/>
  <c r="J35" i="6" s="1"/>
  <c r="I109" i="3" s="1"/>
  <c r="K109" i="3" s="1"/>
  <c r="AJ149" i="6"/>
  <c r="AD132" i="6"/>
  <c r="Y205" i="6"/>
  <c r="X150" i="6"/>
  <c r="X205" i="6" s="1"/>
  <c r="W176" i="6"/>
  <c r="Z224" i="6" s="1"/>
  <c r="AD136" i="6"/>
  <c r="AD134" i="6"/>
  <c r="X145" i="6"/>
  <c r="J145" i="6" s="1"/>
  <c r="I148" i="3" s="1"/>
  <c r="K148" i="3" s="1"/>
  <c r="AD182" i="6"/>
  <c r="X196" i="6"/>
  <c r="J196" i="6" s="1"/>
  <c r="X128" i="6"/>
  <c r="J128" i="6" s="1"/>
  <c r="I141" i="3" s="1"/>
  <c r="K141" i="3" s="1"/>
  <c r="AD111" i="6"/>
  <c r="X138" i="6"/>
  <c r="J138" i="6" s="1"/>
  <c r="I143" i="3" s="1"/>
  <c r="K143" i="3" s="1"/>
  <c r="AD137" i="6"/>
  <c r="AD131" i="6"/>
  <c r="AE206" i="6"/>
  <c r="AD175" i="6"/>
  <c r="AD206" i="6" s="1"/>
  <c r="I61" i="3"/>
  <c r="I47" i="3"/>
  <c r="I49" i="3"/>
  <c r="K49" i="3" s="1"/>
  <c r="I51" i="3"/>
  <c r="K51" i="3" s="1"/>
  <c r="I46" i="3"/>
  <c r="K46" i="3" s="1"/>
  <c r="I48" i="3"/>
  <c r="K48" i="3" s="1"/>
  <c r="I52" i="3"/>
  <c r="K52" i="3" s="1"/>
  <c r="I50" i="3"/>
  <c r="K50" i="3" s="1"/>
  <c r="AD96" i="6"/>
  <c r="AD95" i="6"/>
  <c r="AD98" i="6"/>
  <c r="AD97" i="6"/>
  <c r="AD94" i="6"/>
  <c r="R21" i="6"/>
  <c r="R22" i="6"/>
  <c r="AI137" i="6"/>
  <c r="AK137" i="6" s="1"/>
  <c r="AO149" i="6"/>
  <c r="AQ149" i="6" s="1"/>
  <c r="AI150" i="6"/>
  <c r="AK150" i="6" s="1"/>
  <c r="AI135" i="6"/>
  <c r="AK135" i="6" s="1"/>
  <c r="R80" i="6"/>
  <c r="R39" i="6"/>
  <c r="AI111" i="6"/>
  <c r="AK111" i="6" s="1"/>
  <c r="AC112" i="6"/>
  <c r="AE112" i="6" s="1"/>
  <c r="AI33" i="6"/>
  <c r="AK33" i="6" s="1"/>
  <c r="AC35" i="6"/>
  <c r="AE35" i="6" s="1"/>
  <c r="AI131" i="6"/>
  <c r="AK131" i="6" s="1"/>
  <c r="Y70" i="6"/>
  <c r="R70" i="6"/>
  <c r="R107" i="6"/>
  <c r="R72" i="6"/>
  <c r="R13" i="6"/>
  <c r="R77" i="6"/>
  <c r="R20" i="6"/>
  <c r="R40" i="6"/>
  <c r="R78" i="6"/>
  <c r="AI132" i="6"/>
  <c r="AK132" i="6" s="1"/>
  <c r="AC102" i="6"/>
  <c r="AE102" i="6" s="1"/>
  <c r="R102" i="6"/>
  <c r="K57" i="3"/>
  <c r="K59" i="3"/>
  <c r="Y13" i="6"/>
  <c r="Y22" i="6"/>
  <c r="AI142" i="6"/>
  <c r="AK142" i="6" s="1"/>
  <c r="AC145" i="6"/>
  <c r="AE145" i="6" s="1"/>
  <c r="AI141" i="6"/>
  <c r="AK141" i="6" s="1"/>
  <c r="M1" i="6"/>
  <c r="N1" i="6" s="1"/>
  <c r="O1" i="6" s="1"/>
  <c r="P1" i="6" s="1"/>
  <c r="Q1" i="6" s="1"/>
  <c r="R1" i="6" s="1"/>
  <c r="S1" i="6" s="1"/>
  <c r="T1" i="6" s="1"/>
  <c r="U1" i="6" s="1"/>
  <c r="V1" i="6" s="1"/>
  <c r="W1" i="6" s="1"/>
  <c r="X1" i="6" s="1"/>
  <c r="Y1" i="6" s="1"/>
  <c r="Z1" i="6" s="1"/>
  <c r="AA1" i="6" s="1"/>
  <c r="AB1" i="6" s="1"/>
  <c r="AC1" i="6" s="1"/>
  <c r="AD1" i="6" s="1"/>
  <c r="AE1" i="6" s="1"/>
  <c r="AF1" i="6" s="1"/>
  <c r="AG1" i="6" s="1"/>
  <c r="AH1" i="6" s="1"/>
  <c r="AI1" i="6" s="1"/>
  <c r="AJ1" i="6" s="1"/>
  <c r="AK1" i="6" s="1"/>
  <c r="AL1" i="6" s="1"/>
  <c r="AM1" i="6" s="1"/>
  <c r="AN1" i="6" s="1"/>
  <c r="AO1" i="6" s="1"/>
  <c r="AP1" i="6" s="1"/>
  <c r="AQ1" i="6" s="1"/>
  <c r="AR1" i="6" s="1"/>
  <c r="Y21" i="6"/>
  <c r="Y80" i="6"/>
  <c r="Y19" i="6"/>
  <c r="Y39" i="6"/>
  <c r="Y77" i="6"/>
  <c r="Y12" i="6"/>
  <c r="Y20" i="6"/>
  <c r="Y40" i="6"/>
  <c r="Y72" i="6"/>
  <c r="Y78" i="6"/>
  <c r="S67" i="6"/>
  <c r="AI182" i="6"/>
  <c r="AK182" i="6" s="1"/>
  <c r="AO179" i="6"/>
  <c r="AQ179" i="6" s="1"/>
  <c r="W107" i="6"/>
  <c r="Y107" i="6" s="1"/>
  <c r="S63" i="6"/>
  <c r="AF226" i="6" l="1"/>
  <c r="AE138" i="6"/>
  <c r="AF223" i="6"/>
  <c r="J150" i="6"/>
  <c r="I145" i="3"/>
  <c r="K145" i="3" s="1"/>
  <c r="J205" i="6"/>
  <c r="I76" i="3" s="1"/>
  <c r="S221" i="6"/>
  <c r="AO133" i="6"/>
  <c r="AQ133" i="6" s="1"/>
  <c r="J102" i="6"/>
  <c r="I127" i="3" s="1"/>
  <c r="K127" i="3" s="1"/>
  <c r="AO144" i="6"/>
  <c r="AQ144" i="6" s="1"/>
  <c r="AO134" i="6"/>
  <c r="AQ134" i="6" s="1"/>
  <c r="AJ134" i="6"/>
  <c r="AJ133" i="6"/>
  <c r="AJ144" i="6"/>
  <c r="Y176" i="6"/>
  <c r="AE150" i="6"/>
  <c r="AE205" i="6" s="1"/>
  <c r="AJ136" i="6"/>
  <c r="AC107" i="6"/>
  <c r="AE107" i="6" s="1"/>
  <c r="AE106" i="6"/>
  <c r="AO136" i="6"/>
  <c r="AQ136" i="6" s="1"/>
  <c r="AI106" i="6"/>
  <c r="AJ106" i="6" s="1"/>
  <c r="I39" i="3"/>
  <c r="K36" i="3"/>
  <c r="AC176" i="6"/>
  <c r="AF224" i="6" s="1"/>
  <c r="AD150" i="6"/>
  <c r="AD205" i="6" s="1"/>
  <c r="K61" i="3"/>
  <c r="K37" i="3"/>
  <c r="AC21" i="6"/>
  <c r="X21" i="6"/>
  <c r="J21" i="6" s="1"/>
  <c r="X107" i="6"/>
  <c r="J107" i="6" s="1"/>
  <c r="I129" i="3" s="1"/>
  <c r="K129" i="3" s="1"/>
  <c r="AC40" i="6"/>
  <c r="X40" i="6"/>
  <c r="J40" i="6" s="1"/>
  <c r="X39" i="6"/>
  <c r="J39" i="6" s="1"/>
  <c r="AC22" i="6"/>
  <c r="X22" i="6"/>
  <c r="J22" i="6" s="1"/>
  <c r="AJ132" i="6"/>
  <c r="AJ33" i="6"/>
  <c r="AP149" i="6"/>
  <c r="X77" i="6"/>
  <c r="J77" i="6" s="1"/>
  <c r="AC78" i="6"/>
  <c r="X78" i="6"/>
  <c r="J78" i="6" s="1"/>
  <c r="AC20" i="6"/>
  <c r="X20" i="6"/>
  <c r="J20" i="6" s="1"/>
  <c r="AC19" i="6"/>
  <c r="X19" i="6"/>
  <c r="J19" i="6" s="1"/>
  <c r="AJ141" i="6"/>
  <c r="AC13" i="6"/>
  <c r="X13" i="6"/>
  <c r="J13" i="6" s="1"/>
  <c r="AD138" i="6"/>
  <c r="AD112" i="6"/>
  <c r="X176" i="6"/>
  <c r="J176" i="6" s="1"/>
  <c r="AD106" i="6"/>
  <c r="AP179" i="6"/>
  <c r="AJ182" i="6"/>
  <c r="AC12" i="6"/>
  <c r="X12" i="6"/>
  <c r="J12" i="6" s="1"/>
  <c r="AC80" i="6"/>
  <c r="X80" i="6"/>
  <c r="J80" i="6" s="1"/>
  <c r="AD145" i="6"/>
  <c r="X70" i="6"/>
  <c r="J70" i="6" s="1"/>
  <c r="AJ131" i="6"/>
  <c r="AJ111" i="6"/>
  <c r="R47" i="6"/>
  <c r="AJ135" i="6"/>
  <c r="AJ137" i="6"/>
  <c r="I54" i="3"/>
  <c r="K54" i="3" s="1"/>
  <c r="AK206" i="6"/>
  <c r="AJ175" i="6"/>
  <c r="AJ206" i="6" s="1"/>
  <c r="AC72" i="6"/>
  <c r="X72" i="6"/>
  <c r="J72" i="6" s="1"/>
  <c r="AJ142" i="6"/>
  <c r="AD35" i="6"/>
  <c r="AK205" i="6"/>
  <c r="AJ150" i="6"/>
  <c r="AJ205" i="6" s="1"/>
  <c r="AI176" i="6"/>
  <c r="AP173" i="6"/>
  <c r="AO175" i="6"/>
  <c r="AQ175" i="6" s="1"/>
  <c r="K47" i="3"/>
  <c r="AD102" i="6"/>
  <c r="R67" i="6"/>
  <c r="AO33" i="6"/>
  <c r="AQ33" i="6" s="1"/>
  <c r="AI35" i="6"/>
  <c r="AK35" i="6" s="1"/>
  <c r="R63" i="6"/>
  <c r="R25" i="6"/>
  <c r="AO111" i="6"/>
  <c r="AQ111" i="6" s="1"/>
  <c r="AI112" i="6"/>
  <c r="AK112" i="6" s="1"/>
  <c r="AO137" i="6"/>
  <c r="AQ137" i="6" s="1"/>
  <c r="AO132" i="6"/>
  <c r="AQ132" i="6" s="1"/>
  <c r="R73" i="6"/>
  <c r="AO135" i="6"/>
  <c r="AQ135" i="6" s="1"/>
  <c r="AO150" i="6"/>
  <c r="AQ150" i="6" s="1"/>
  <c r="AC39" i="6"/>
  <c r="AE39" i="6" s="1"/>
  <c r="W47" i="6"/>
  <c r="R81" i="6"/>
  <c r="AC77" i="6"/>
  <c r="AE77" i="6" s="1"/>
  <c r="Y81" i="6"/>
  <c r="AC70" i="6"/>
  <c r="AE70" i="6" s="1"/>
  <c r="Y73" i="6"/>
  <c r="AO131" i="6"/>
  <c r="AQ131" i="6" s="1"/>
  <c r="AI138" i="6"/>
  <c r="AK138" i="6" s="1"/>
  <c r="R87" i="6"/>
  <c r="R30" i="6"/>
  <c r="W67" i="6"/>
  <c r="Y67" i="6" s="1"/>
  <c r="Y25" i="6"/>
  <c r="AI145" i="6"/>
  <c r="AK145" i="6" s="1"/>
  <c r="AO141" i="6"/>
  <c r="AQ141" i="6" s="1"/>
  <c r="AO142" i="6"/>
  <c r="AQ142" i="6" s="1"/>
  <c r="AO182" i="6"/>
  <c r="AQ182" i="6" s="1"/>
  <c r="Y63" i="6"/>
  <c r="AE19" i="6" l="1"/>
  <c r="AC25" i="6"/>
  <c r="W208" i="6"/>
  <c r="Z6" i="6" s="1"/>
  <c r="Z222" i="6"/>
  <c r="Z225" i="6" s="1"/>
  <c r="Z227" i="6" s="1"/>
  <c r="Y221" i="6"/>
  <c r="AK176" i="6"/>
  <c r="K76" i="3"/>
  <c r="I93" i="3"/>
  <c r="K93" i="3" s="1"/>
  <c r="AE12" i="6"/>
  <c r="AC16" i="6"/>
  <c r="I80" i="3"/>
  <c r="K80" i="3" s="1"/>
  <c r="Y47" i="6"/>
  <c r="S16" i="6"/>
  <c r="T222" i="6"/>
  <c r="T225" i="6" s="1"/>
  <c r="T227" i="6" s="1"/>
  <c r="AP133" i="6"/>
  <c r="AP134" i="6"/>
  <c r="AP136" i="6"/>
  <c r="J87" i="6"/>
  <c r="I123" i="3" s="1"/>
  <c r="K123" i="3" s="1"/>
  <c r="J30" i="6"/>
  <c r="I107" i="3" s="1"/>
  <c r="K107" i="3" s="1"/>
  <c r="AP144" i="6"/>
  <c r="AI20" i="6"/>
  <c r="AK20" i="6" s="1"/>
  <c r="AE20" i="6"/>
  <c r="AI21" i="6"/>
  <c r="AK21" i="6" s="1"/>
  <c r="AE21" i="6"/>
  <c r="AI40" i="6"/>
  <c r="AK40" i="6" s="1"/>
  <c r="AE40" i="6"/>
  <c r="AD107" i="6"/>
  <c r="AI72" i="6"/>
  <c r="AK72" i="6" s="1"/>
  <c r="AE72" i="6"/>
  <c r="AI80" i="6"/>
  <c r="AK80" i="6" s="1"/>
  <c r="AE80" i="6"/>
  <c r="AI78" i="6"/>
  <c r="AK78" i="6" s="1"/>
  <c r="AE78" i="6"/>
  <c r="AI22" i="6"/>
  <c r="AK22" i="6" s="1"/>
  <c r="AE22" i="6"/>
  <c r="AE176" i="6"/>
  <c r="AO106" i="6"/>
  <c r="AQ106" i="6" s="1"/>
  <c r="AK106" i="6"/>
  <c r="AI13" i="6"/>
  <c r="AK13" i="6" s="1"/>
  <c r="AE13" i="6"/>
  <c r="AI107" i="6"/>
  <c r="AK107" i="6" s="1"/>
  <c r="AI12" i="6"/>
  <c r="AD176" i="6"/>
  <c r="AI19" i="6"/>
  <c r="AK19" i="6" s="1"/>
  <c r="AP182" i="6"/>
  <c r="AJ138" i="6"/>
  <c r="AD39" i="6"/>
  <c r="AJ112" i="6"/>
  <c r="AJ35" i="6"/>
  <c r="AJ176" i="6"/>
  <c r="AD80" i="6"/>
  <c r="AD19" i="6"/>
  <c r="AD40" i="6"/>
  <c r="AP141" i="6"/>
  <c r="X25" i="6"/>
  <c r="J25" i="6" s="1"/>
  <c r="I100" i="3" s="1"/>
  <c r="K100" i="3" s="1"/>
  <c r="X81" i="6"/>
  <c r="J81" i="6" s="1"/>
  <c r="I121" i="3" s="1"/>
  <c r="K121" i="3" s="1"/>
  <c r="AP142" i="6"/>
  <c r="X67" i="6"/>
  <c r="J67" i="6" s="1"/>
  <c r="I117" i="3" s="1"/>
  <c r="K117" i="3" s="1"/>
  <c r="Y16" i="6"/>
  <c r="AP131" i="6"/>
  <c r="AD77" i="6"/>
  <c r="AP111" i="6"/>
  <c r="T9" i="6"/>
  <c r="T16" i="6" s="1"/>
  <c r="AP33" i="6"/>
  <c r="AP132" i="6"/>
  <c r="AD72" i="6"/>
  <c r="AD78" i="6"/>
  <c r="X73" i="6"/>
  <c r="J73" i="6" s="1"/>
  <c r="I119" i="3" s="1"/>
  <c r="K119" i="3" s="1"/>
  <c r="AQ205" i="6"/>
  <c r="AP150" i="6"/>
  <c r="AP205" i="6" s="1"/>
  <c r="AO176" i="6"/>
  <c r="X63" i="6"/>
  <c r="I115" i="3" s="1"/>
  <c r="K115" i="3" s="1"/>
  <c r="AJ145" i="6"/>
  <c r="AD70" i="6"/>
  <c r="X47" i="6"/>
  <c r="J47" i="6" s="1"/>
  <c r="I111" i="3" s="1"/>
  <c r="K111" i="3" s="1"/>
  <c r="AP135" i="6"/>
  <c r="AP137" i="6"/>
  <c r="AQ206" i="6"/>
  <c r="AP175" i="6"/>
  <c r="AP206" i="6" s="1"/>
  <c r="AD12" i="6"/>
  <c r="AD13" i="6"/>
  <c r="AD20" i="6"/>
  <c r="AD22" i="6"/>
  <c r="AD21" i="6"/>
  <c r="I63" i="3"/>
  <c r="K63" i="3" s="1"/>
  <c r="AC73" i="6"/>
  <c r="AE73" i="6" s="1"/>
  <c r="AI70" i="6"/>
  <c r="AK70" i="6" s="1"/>
  <c r="AO138" i="6"/>
  <c r="AQ138" i="6" s="1"/>
  <c r="AI39" i="6"/>
  <c r="AK39" i="6" s="1"/>
  <c r="AC47" i="6"/>
  <c r="AE47" i="6" s="1"/>
  <c r="AO112" i="6"/>
  <c r="AQ112" i="6" s="1"/>
  <c r="AO35" i="6"/>
  <c r="AQ35" i="6" s="1"/>
  <c r="AI77" i="6"/>
  <c r="AK77" i="6" s="1"/>
  <c r="AC81" i="6"/>
  <c r="AE81" i="6" s="1"/>
  <c r="R16" i="6"/>
  <c r="AO145" i="6"/>
  <c r="AQ145" i="6" s="1"/>
  <c r="Y208" i="6" l="1"/>
  <c r="Y210" i="6" s="1"/>
  <c r="AE221" i="6"/>
  <c r="AF222" i="6"/>
  <c r="AF225" i="6" s="1"/>
  <c r="AF227" i="6" s="1"/>
  <c r="W210" i="6"/>
  <c r="X208" i="6"/>
  <c r="X210" i="6"/>
  <c r="J210" i="6" s="1"/>
  <c r="J208" i="6"/>
  <c r="J63" i="6"/>
  <c r="AE25" i="6"/>
  <c r="AC208" i="6"/>
  <c r="AQ176" i="6"/>
  <c r="AI16" i="6"/>
  <c r="AK16" i="6" s="1"/>
  <c r="AJ72" i="6"/>
  <c r="AO40" i="6"/>
  <c r="AQ40" i="6" s="1"/>
  <c r="I104" i="3"/>
  <c r="K104" i="3" s="1"/>
  <c r="AJ40" i="6"/>
  <c r="AO20" i="6"/>
  <c r="AQ20" i="6" s="1"/>
  <c r="AO13" i="6"/>
  <c r="AQ13" i="6" s="1"/>
  <c r="AO22" i="6"/>
  <c r="AQ22" i="6" s="1"/>
  <c r="AJ20" i="6"/>
  <c r="AJ22" i="6"/>
  <c r="AO72" i="6"/>
  <c r="AQ72" i="6" s="1"/>
  <c r="AO78" i="6"/>
  <c r="AQ78" i="6" s="1"/>
  <c r="AJ13" i="6"/>
  <c r="AJ80" i="6"/>
  <c r="AJ78" i="6"/>
  <c r="AO107" i="6"/>
  <c r="AQ107" i="6" s="1"/>
  <c r="AO80" i="6"/>
  <c r="AQ80" i="6" s="1"/>
  <c r="AJ21" i="6"/>
  <c r="AJ12" i="6"/>
  <c r="AK12" i="6"/>
  <c r="AO21" i="6"/>
  <c r="AQ21" i="6" s="1"/>
  <c r="AP106" i="6"/>
  <c r="AD16" i="6"/>
  <c r="AJ107" i="6"/>
  <c r="AO12" i="6"/>
  <c r="AI25" i="6"/>
  <c r="AO19" i="6"/>
  <c r="AJ19" i="6"/>
  <c r="AD25" i="6"/>
  <c r="AD81" i="6"/>
  <c r="AP138" i="6"/>
  <c r="AJ77" i="6"/>
  <c r="AP112" i="6"/>
  <c r="X16" i="6"/>
  <c r="J16" i="6" s="1"/>
  <c r="I97" i="3" s="1"/>
  <c r="Z9" i="6"/>
  <c r="Z16" i="6" s="1"/>
  <c r="AP145" i="6"/>
  <c r="AD47" i="6"/>
  <c r="T118" i="6"/>
  <c r="T123" i="6"/>
  <c r="T102" i="6"/>
  <c r="T91" i="6"/>
  <c r="T30" i="6"/>
  <c r="T87" i="6"/>
  <c r="T57" i="6"/>
  <c r="T128" i="6"/>
  <c r="T112" i="6"/>
  <c r="T138" i="6"/>
  <c r="T145" i="6"/>
  <c r="T35" i="6"/>
  <c r="T107" i="6"/>
  <c r="T25" i="6"/>
  <c r="T67" i="6"/>
  <c r="T63" i="6"/>
  <c r="T81" i="6"/>
  <c r="T73" i="6"/>
  <c r="T47" i="6"/>
  <c r="AP35" i="6"/>
  <c r="AJ70" i="6"/>
  <c r="AP176" i="6"/>
  <c r="AJ39" i="6"/>
  <c r="AD73" i="6"/>
  <c r="AO77" i="6"/>
  <c r="AQ77" i="6" s="1"/>
  <c r="AI81" i="6"/>
  <c r="AK81" i="6" s="1"/>
  <c r="AO70" i="6"/>
  <c r="AQ70" i="6" s="1"/>
  <c r="AI73" i="6"/>
  <c r="AK73" i="6" s="1"/>
  <c r="AO39" i="6"/>
  <c r="AQ39" i="6" s="1"/>
  <c r="AI47" i="6"/>
  <c r="AK47" i="6" s="1"/>
  <c r="AI208" i="6" l="1"/>
  <c r="AI210" i="6" s="1"/>
  <c r="AC210" i="6"/>
  <c r="AE208" i="6"/>
  <c r="AE210" i="6" s="1"/>
  <c r="AD208" i="6"/>
  <c r="AD210" i="6" s="1"/>
  <c r="AF6" i="6"/>
  <c r="AP40" i="6"/>
  <c r="AO16" i="6"/>
  <c r="K97" i="3"/>
  <c r="I131" i="3"/>
  <c r="AP78" i="6"/>
  <c r="AP72" i="6"/>
  <c r="AP20" i="6"/>
  <c r="AP80" i="6"/>
  <c r="C240" i="6"/>
  <c r="C241" i="6" s="1"/>
  <c r="AP22" i="6"/>
  <c r="AP13" i="6"/>
  <c r="AP107" i="6"/>
  <c r="AJ25" i="6"/>
  <c r="AK25" i="6"/>
  <c r="AP12" i="6"/>
  <c r="AQ12" i="6"/>
  <c r="AP21" i="6"/>
  <c r="AP19" i="6"/>
  <c r="AQ19" i="6"/>
  <c r="AF9" i="6"/>
  <c r="AF81" i="6" s="1"/>
  <c r="AE16" i="6"/>
  <c r="AO25" i="6"/>
  <c r="AP39" i="6"/>
  <c r="AP70" i="6"/>
  <c r="AJ16" i="6"/>
  <c r="AL9" i="6"/>
  <c r="AL47" i="6" s="1"/>
  <c r="AJ81" i="6"/>
  <c r="AJ47" i="6"/>
  <c r="AJ73" i="6"/>
  <c r="AP77" i="6"/>
  <c r="Z102" i="6"/>
  <c r="Z91" i="6"/>
  <c r="Z123" i="6"/>
  <c r="Z118" i="6"/>
  <c r="Z30" i="6"/>
  <c r="Z87" i="6"/>
  <c r="Z57" i="6"/>
  <c r="Z112" i="6"/>
  <c r="Z128" i="6"/>
  <c r="Z138" i="6"/>
  <c r="Z35" i="6"/>
  <c r="Z145" i="6"/>
  <c r="Z107" i="6"/>
  <c r="Z67" i="6"/>
  <c r="Z63" i="6"/>
  <c r="Z25" i="6"/>
  <c r="Z81" i="6"/>
  <c r="Z73" i="6"/>
  <c r="Z47" i="6"/>
  <c r="AO47" i="6"/>
  <c r="AQ47" i="6" s="1"/>
  <c r="AO73" i="6"/>
  <c r="AQ73" i="6" s="1"/>
  <c r="AO81" i="6"/>
  <c r="AQ81" i="6" s="1"/>
  <c r="AL6" i="6" l="1"/>
  <c r="AJ208" i="6"/>
  <c r="AJ210" i="6" s="1"/>
  <c r="AK208" i="6"/>
  <c r="AK210" i="6" s="1"/>
  <c r="AQ25" i="6"/>
  <c r="AO208" i="6"/>
  <c r="K131" i="3"/>
  <c r="I153" i="3"/>
  <c r="AF87" i="6"/>
  <c r="AF30" i="6"/>
  <c r="AF35" i="6"/>
  <c r="AF91" i="6"/>
  <c r="AF107" i="6"/>
  <c r="AF73" i="6"/>
  <c r="AF47" i="6"/>
  <c r="AF63" i="6"/>
  <c r="AF112" i="6"/>
  <c r="AF102" i="6"/>
  <c r="AF16" i="6"/>
  <c r="AF123" i="6"/>
  <c r="AF138" i="6"/>
  <c r="AF128" i="6"/>
  <c r="AF67" i="6"/>
  <c r="AF145" i="6"/>
  <c r="AF118" i="6"/>
  <c r="AF57" i="6"/>
  <c r="AF25" i="6"/>
  <c r="AQ16" i="6"/>
  <c r="AP25" i="6"/>
  <c r="AL91" i="6"/>
  <c r="AL102" i="6"/>
  <c r="AL128" i="6"/>
  <c r="AL123" i="6"/>
  <c r="AL118" i="6"/>
  <c r="AL63" i="6"/>
  <c r="AL67" i="6"/>
  <c r="AL30" i="6"/>
  <c r="AL87" i="6"/>
  <c r="AL57" i="6"/>
  <c r="AL138" i="6"/>
  <c r="AL35" i="6"/>
  <c r="AL112" i="6"/>
  <c r="AL107" i="6"/>
  <c r="AL145" i="6"/>
  <c r="AL25" i="6"/>
  <c r="AP73" i="6"/>
  <c r="AP47" i="6"/>
  <c r="AP81" i="6"/>
  <c r="AL73" i="6"/>
  <c r="AL81" i="6"/>
  <c r="AL16" i="6"/>
  <c r="AO210" i="6" l="1"/>
  <c r="AQ208" i="6"/>
  <c r="AQ210" i="6" s="1"/>
  <c r="AP208" i="6"/>
  <c r="AP210" i="6" s="1"/>
  <c r="AR6" i="6"/>
  <c r="K153" i="3"/>
  <c r="I155" i="3"/>
  <c r="K155" i="3" s="1"/>
  <c r="AR9" i="6"/>
  <c r="AR73" i="6" s="1"/>
  <c r="AP16" i="6"/>
  <c r="AR123" i="6" l="1"/>
  <c r="AR47" i="6"/>
  <c r="AR102" i="6"/>
  <c r="AR145" i="6"/>
  <c r="AR87" i="6"/>
  <c r="AR25" i="6"/>
  <c r="AR107" i="6"/>
  <c r="AR30" i="6"/>
  <c r="AR118" i="6"/>
  <c r="AR16" i="6"/>
  <c r="AR112" i="6"/>
  <c r="AR138" i="6"/>
  <c r="AR67" i="6"/>
  <c r="AR63" i="6"/>
  <c r="AR81" i="6"/>
  <c r="AR35" i="6"/>
  <c r="AR57" i="6"/>
  <c r="AR128" i="6"/>
  <c r="AR91" i="6"/>
</calcChain>
</file>

<file path=xl/sharedStrings.xml><?xml version="1.0" encoding="utf-8"?>
<sst xmlns="http://schemas.openxmlformats.org/spreadsheetml/2006/main" count="1340" uniqueCount="359">
  <si>
    <t>Unité de présentation des résultats :</t>
  </si>
  <si>
    <t>Année de comparaison :</t>
  </si>
  <si>
    <t>Vos chiffres</t>
  </si>
  <si>
    <t>Écart</t>
  </si>
  <si>
    <t>Unités</t>
  </si>
  <si>
    <t>Temps de travail</t>
  </si>
  <si>
    <t>Total</t>
  </si>
  <si>
    <t>Exploitants</t>
  </si>
  <si>
    <t>Famille</t>
  </si>
  <si>
    <t>Salariés</t>
  </si>
  <si>
    <t>RÉSULTATS TECHNIQUES</t>
  </si>
  <si>
    <t>RÉSULTATS FINANCIERS</t>
  </si>
  <si>
    <t>Charges variables</t>
  </si>
  <si>
    <t>Revenus</t>
  </si>
  <si>
    <t>TOTAL DES REVENUS</t>
  </si>
  <si>
    <t>Autres revenus</t>
  </si>
  <si>
    <t>Entretien de la machinerie et des équipements</t>
  </si>
  <si>
    <t>Carburants</t>
  </si>
  <si>
    <t>Électricité</t>
  </si>
  <si>
    <t>Travaux à forfait</t>
  </si>
  <si>
    <t>Location</t>
  </si>
  <si>
    <t>Main-d'œuvre salariée</t>
  </si>
  <si>
    <t>Contributions ASRA</t>
  </si>
  <si>
    <t>Contributions autres programmes FADQ</t>
  </si>
  <si>
    <t>Intérêts sur emprunts à court terme</t>
  </si>
  <si>
    <t>TOTAL DES CHARGES VARIABLES</t>
  </si>
  <si>
    <t>Charges fixes</t>
  </si>
  <si>
    <t>Assurances</t>
  </si>
  <si>
    <t>Taxes foncières</t>
  </si>
  <si>
    <t>Intérêts sur emprunts à long terme</t>
  </si>
  <si>
    <t>Autres frais</t>
  </si>
  <si>
    <t>TOTAL DES CHARGES FIXES</t>
  </si>
  <si>
    <t>Amortissement</t>
  </si>
  <si>
    <t>Variation des inventaires</t>
  </si>
  <si>
    <t>Voir Définitions</t>
  </si>
  <si>
    <t>TOTAL DES CHARGES</t>
  </si>
  <si>
    <t>MARGE BÉNÉFICIAIRE*</t>
  </si>
  <si>
    <t>RÉSULTATS ÉCONOMIQUES</t>
  </si>
  <si>
    <t>Information globale</t>
  </si>
  <si>
    <t>Chaux</t>
  </si>
  <si>
    <t>Essence</t>
  </si>
  <si>
    <t>Location de bâtiments</t>
  </si>
  <si>
    <t>Famille bénévole et forfaitaire</t>
  </si>
  <si>
    <t>Famille salariée taux horaire &lt; salariés</t>
  </si>
  <si>
    <t>Famille salariée taux horaire &gt; salariés</t>
  </si>
  <si>
    <t>Cont. autres programmes FADQ</t>
  </si>
  <si>
    <t>Frais exigibles</t>
  </si>
  <si>
    <t>Frais bancaires</t>
  </si>
  <si>
    <t>Bâtiments</t>
  </si>
  <si>
    <t xml:space="preserve">Assurances </t>
  </si>
  <si>
    <t>Assurance ferme</t>
  </si>
  <si>
    <t>Assurance véhicules</t>
  </si>
  <si>
    <t xml:space="preserve">Taxes foncières </t>
  </si>
  <si>
    <t>Taxes municipales et scolaires</t>
  </si>
  <si>
    <t>Remboursement</t>
  </si>
  <si>
    <t>Communications (téléphone, Internet, cellulaire)</t>
  </si>
  <si>
    <t>Immatriculations et permis</t>
  </si>
  <si>
    <t>Papeterie, fournitures de bureau</t>
  </si>
  <si>
    <t>Revenus de sous-produits</t>
  </si>
  <si>
    <t>Machinerie et équipements</t>
  </si>
  <si>
    <t>Drainage</t>
  </si>
  <si>
    <t xml:space="preserve">Rémunération des exploitants </t>
  </si>
  <si>
    <t xml:space="preserve">Rémunération de l'avoir </t>
  </si>
  <si>
    <t>Rémunération de l'avoir propre</t>
  </si>
  <si>
    <t>Revenus de vente</t>
  </si>
  <si>
    <t>Nombre</t>
  </si>
  <si>
    <t>$/unité</t>
  </si>
  <si>
    <t>$</t>
  </si>
  <si>
    <t>heures</t>
  </si>
  <si>
    <t>Sous-total</t>
  </si>
  <si>
    <t>$/an/exp.</t>
  </si>
  <si>
    <t>Taux</t>
  </si>
  <si>
    <t>Indexation</t>
  </si>
  <si>
    <t>Avoir propre</t>
  </si>
  <si>
    <t>Année</t>
  </si>
  <si>
    <t>Coef+Ind</t>
  </si>
  <si>
    <t>Colonne Indexation</t>
  </si>
  <si>
    <t>Indice d'indexation de la FADQ</t>
  </si>
  <si>
    <t>Indice d'indexation de la FADQ qui se multiplie par la quantité</t>
  </si>
  <si>
    <t>Total du poste ou sous-total dans les sous-produits</t>
  </si>
  <si>
    <t>Choix</t>
  </si>
  <si>
    <t>Année de comparaison</t>
  </si>
  <si>
    <t>Unité de présentation des résultats</t>
  </si>
  <si>
    <t>%</t>
  </si>
  <si>
    <t>Modèle</t>
  </si>
  <si>
    <t>Unité</t>
  </si>
  <si>
    <t>$/modèle</t>
  </si>
  <si>
    <t>Revenus totaux</t>
  </si>
  <si>
    <t>Charges totales avec amortissement</t>
  </si>
  <si>
    <t>Faites le calcul!</t>
  </si>
  <si>
    <t>Bonjour,</t>
  </si>
  <si>
    <t>Comparaison :</t>
  </si>
  <si>
    <t>L'onglet Définitions vous indique sommairement le contenu des postes de revenus et de charges que vous trouverez dans nos autres onglets.</t>
  </si>
  <si>
    <t xml:space="preserve">Prenez note que pour l'instant, les données comparées sont celles disponibles. Les données indexées seront ajoutées au fur et à mesure que les indices seront publiés. </t>
  </si>
  <si>
    <t>Réserves et limites :</t>
  </si>
  <si>
    <t>Ce document a été développé pour votre usage personnel et à des fins non commerciales. Vous acceptez de l'utiliser dans le respect des lois, des règlements et des normes applicables.</t>
  </si>
  <si>
    <t>Note:</t>
  </si>
  <si>
    <t>N'hésitez pas à nous contacter au besoin au 418 833-2515.</t>
  </si>
  <si>
    <t>L'équipe du CECPA</t>
  </si>
  <si>
    <t>Pour toutes les études qu’il réalise, le CECPA procède à différentes analyses. Certains éléments de coûts de production peuvent être affectés de manière ponctuelle ou permanente selon l’évolution du contexte économique d’un secteur.</t>
  </si>
  <si>
    <t xml:space="preserve">RÉSULTATS DE L'ÉTUDE SUR LE COÛT DE PRODUCTION </t>
  </si>
  <si>
    <t xml:space="preserve">RÉSULTATS TECHNIQUES         </t>
  </si>
  <si>
    <t xml:space="preserve">Temps de travail                       </t>
  </si>
  <si>
    <t xml:space="preserve">Actif </t>
  </si>
  <si>
    <t>Encaisse</t>
  </si>
  <si>
    <t>Autres inventaires</t>
  </si>
  <si>
    <t>Court terme</t>
  </si>
  <si>
    <t>Fonds de terre</t>
  </si>
  <si>
    <t>Matériel roulant</t>
  </si>
  <si>
    <t>Placements et autres</t>
  </si>
  <si>
    <t>Long terme</t>
  </si>
  <si>
    <t>TOTAL DE L'ACTIF</t>
  </si>
  <si>
    <t>Passif</t>
  </si>
  <si>
    <t>Marge de crédit et paiement anticipé</t>
  </si>
  <si>
    <t>Comptes fournisseurs</t>
  </si>
  <si>
    <t>Dettes à court terme</t>
  </si>
  <si>
    <t>Dettes à long terme</t>
  </si>
  <si>
    <t>TOTAL DU PASSIF</t>
  </si>
  <si>
    <t>AVOIR PROPRE</t>
  </si>
  <si>
    <t>Taux d'endettement</t>
  </si>
  <si>
    <t>COÛT DE PRODUCTION</t>
  </si>
  <si>
    <t>Postes</t>
  </si>
  <si>
    <t>CHARGES VARIABLES</t>
  </si>
  <si>
    <t>Diesel coloré</t>
  </si>
  <si>
    <t>Diesel blanc</t>
  </si>
  <si>
    <t xml:space="preserve">   Intérêts sur emprunts à court terme</t>
  </si>
  <si>
    <t xml:space="preserve">   Frais bancaires</t>
  </si>
  <si>
    <t>Total des charges variables</t>
  </si>
  <si>
    <t>CHARGES FIXES</t>
  </si>
  <si>
    <t xml:space="preserve">   Bâtiments</t>
  </si>
  <si>
    <t xml:space="preserve">   Assurance ferme</t>
  </si>
  <si>
    <t xml:space="preserve">   Assurance véhicules</t>
  </si>
  <si>
    <t>Total des charges fixes</t>
  </si>
  <si>
    <t xml:space="preserve">   Machinerie et équipements</t>
  </si>
  <si>
    <t xml:space="preserve">   Drainage</t>
  </si>
  <si>
    <t>Rémunération de l'avoir des propriétaires</t>
  </si>
  <si>
    <t>TOTAL COÛT DE PRODUCTION</t>
  </si>
  <si>
    <t>Indexation 2019</t>
  </si>
  <si>
    <t>Indexation 2020</t>
  </si>
  <si>
    <t>Programmes gouvernementaux</t>
  </si>
  <si>
    <t>Placements</t>
  </si>
  <si>
    <t>Actifs</t>
  </si>
  <si>
    <t>Indexation 2021</t>
  </si>
  <si>
    <t>Heures</t>
  </si>
  <si>
    <t>Famille bénévole</t>
  </si>
  <si>
    <t>Famille &lt; salariés</t>
  </si>
  <si>
    <t>Famille &gt; salariés</t>
  </si>
  <si>
    <t>Dettes</t>
  </si>
  <si>
    <t>Définitions</t>
  </si>
  <si>
    <t>Afin de réaliser une interprétation adéquate de l’information exposée, cette section définit sommairement la méthodologie utilisée dans l'étude de coût de production:</t>
  </si>
  <si>
    <t>Principes généraux</t>
  </si>
  <si>
    <t>Source des données</t>
  </si>
  <si>
    <t>Le coût de production d’un produit agricole est établi à partir de la moyenne pondérée des coûts de production des entreprises sélectionnées dans l’échantillon enquêté.</t>
  </si>
  <si>
    <t>Données primaires</t>
  </si>
  <si>
    <t xml:space="preserve">Les données primaires utilisées par le CECPA proviennent spécifiquement des entreprises enquêtées et proviennent des états financiers, de la comptabilité et des déclarations formulées par les exploitants de ces entreprises. </t>
  </si>
  <si>
    <t>Période de l'étude</t>
  </si>
  <si>
    <t>Les données d’enquête sont prélevées, recensées, traitées, analysées et compilées au cours d’une période d’un an s’échelonnant du 1er janvier au 31 décembre d’une année civile.</t>
  </si>
  <si>
    <t>Résultats techniques</t>
  </si>
  <si>
    <t>Résultats financiers</t>
  </si>
  <si>
    <t>Bilan</t>
  </si>
  <si>
    <t>Actifs court terme</t>
  </si>
  <si>
    <t>Immobilisations</t>
  </si>
  <si>
    <t>Les dettes à long terme incluent la portion échéant au cours du prochain exercice. Les montants dus aux actionnaires sont exclus.</t>
  </si>
  <si>
    <t>L'avoir propre inclut les montants dus aux actionnaires.</t>
  </si>
  <si>
    <t>Total du passif sur le total de l'actif.</t>
  </si>
  <si>
    <t>Résultats économiques</t>
  </si>
  <si>
    <t>Inscrire la variation de la valeur des inventaires, positive ou négative, tel qu'observé dans vos états financiers. Si vos états financiers présentent un poste de variation des inventaires dans les produits, inscrivez cette valeur dans les produits. Si vos états financiers présentent un poste de variation des inventaires dans les charges, inscrivez cette valeur dans les charges. Dans l'étude sur le coût de production, les revenus et les charges liés aux variations d'inventaires sont inclus dans les postes correspondants (ex. : la variation d'inventaires des cultures est contenu dans les postes reliés aux cultures).</t>
  </si>
  <si>
    <t>Dans l'étude sur le coût de production, un amortissement selon la méthode linéaire est calculé pour chaque actif.</t>
  </si>
  <si>
    <t>Marge bénéficiaire</t>
  </si>
  <si>
    <t>Endettement</t>
  </si>
  <si>
    <t>Marge Étude de coût de production</t>
  </si>
  <si>
    <t>Marge Excel</t>
  </si>
  <si>
    <t>Consultez le rapport de notre étude sur le coût de production pour en connaître les méthodologies et obtenir plus d'information sur les résultats.</t>
  </si>
  <si>
    <t>Indexation 2022</t>
  </si>
  <si>
    <t>Achats et frais d'achat d'animaux</t>
  </si>
  <si>
    <t>Aliments achetés</t>
  </si>
  <si>
    <t>Maïs-grain</t>
  </si>
  <si>
    <t>Suppléments</t>
  </si>
  <si>
    <t>Litière</t>
  </si>
  <si>
    <t>Médicaments, vétérinaires et insémination</t>
  </si>
  <si>
    <t>Médicaments et honoraires vétérinaires</t>
  </si>
  <si>
    <t>Frais de mise en marché</t>
  </si>
  <si>
    <t>Intrants et frais de vente des cultures</t>
  </si>
  <si>
    <t>Semences</t>
  </si>
  <si>
    <t>Fertilisants</t>
  </si>
  <si>
    <t>Pesticides</t>
  </si>
  <si>
    <t>Autres frais cultures</t>
  </si>
  <si>
    <t>Frais de ventes - cultures</t>
  </si>
  <si>
    <t>Entretien machinerie</t>
  </si>
  <si>
    <t>Disposition des lisiers à forfait</t>
  </si>
  <si>
    <t>Location de terre</t>
  </si>
  <si>
    <t>Location machinerie et véhicules</t>
  </si>
  <si>
    <t>ASRA Truies (porcelets)</t>
  </si>
  <si>
    <t>ASRA canola</t>
  </si>
  <si>
    <t>ASRA blé humain</t>
  </si>
  <si>
    <t>ASRA blé fourrager</t>
  </si>
  <si>
    <t>ASRA orge</t>
  </si>
  <si>
    <t>ASRA avoine</t>
  </si>
  <si>
    <t>Assurance récolte</t>
  </si>
  <si>
    <t xml:space="preserve">Programmes Agri-stabilité </t>
  </si>
  <si>
    <t>Entretien des bâtiments et du fonds de terre</t>
  </si>
  <si>
    <t>Communications</t>
  </si>
  <si>
    <t>Honoraires professionnels</t>
  </si>
  <si>
    <t>Cotisations à l'UPA</t>
  </si>
  <si>
    <t>Disposition des animaux morts</t>
  </si>
  <si>
    <t>Divers</t>
  </si>
  <si>
    <t>Médicaments, vétérinaire et insémination</t>
  </si>
  <si>
    <t>Ventes de cultures et de fumier (annexe 1)</t>
  </si>
  <si>
    <t>Soya</t>
  </si>
  <si>
    <t>Canola</t>
  </si>
  <si>
    <t>Blé</t>
  </si>
  <si>
    <t>Orge</t>
  </si>
  <si>
    <t>Avoine</t>
  </si>
  <si>
    <t>Foin</t>
  </si>
  <si>
    <t>Paille</t>
  </si>
  <si>
    <t>Autres cultures</t>
  </si>
  <si>
    <t>Fumier</t>
  </si>
  <si>
    <t>Compensations des programmes (annexe 1)</t>
  </si>
  <si>
    <t>ASRA Orge</t>
  </si>
  <si>
    <t>Revenus subventions</t>
  </si>
  <si>
    <t>Revenus ristournes et intérêts</t>
  </si>
  <si>
    <t>Revenus de location de terre</t>
  </si>
  <si>
    <t>Revenus de location de bâtiments et machinerie</t>
  </si>
  <si>
    <t>Revenus de travaux à forfait</t>
  </si>
  <si>
    <t>heures étalon</t>
  </si>
  <si>
    <t>Rémunération de la famille</t>
  </si>
  <si>
    <t>Rémunération des salariés</t>
  </si>
  <si>
    <t>Animaux reproducteurs</t>
  </si>
  <si>
    <t>* Avant rémunération du travail et de l'avoir propre.</t>
  </si>
  <si>
    <t>V205</t>
  </si>
  <si>
    <t>AN205</t>
  </si>
  <si>
    <t>AH205</t>
  </si>
  <si>
    <t>AB205</t>
  </si>
  <si>
    <t>Travaux à forfait - cultures</t>
  </si>
  <si>
    <t>RÉMUNÉRATION DU TRAVAIL</t>
  </si>
  <si>
    <t>Total de la rémunération du travail</t>
  </si>
  <si>
    <t>Comprensations ASRA des cultures consommées</t>
  </si>
  <si>
    <t>Frais de vente des cultures</t>
  </si>
  <si>
    <t>Machinerie et véhicules</t>
  </si>
  <si>
    <t>ASRA blé d'alimentation humaine</t>
  </si>
  <si>
    <t>ASRA blé d'alimentation animale</t>
  </si>
  <si>
    <t>Subventions</t>
  </si>
  <si>
    <t>Ristournes et intérêts</t>
  </si>
  <si>
    <t>Location de bâtiments et machinerie</t>
  </si>
  <si>
    <t>Comptes à recevoir</t>
  </si>
  <si>
    <t>Payé d'avance</t>
  </si>
  <si>
    <t>Programmes FADQ à recevoir</t>
  </si>
  <si>
    <t>Inventaires des récoltes et des aliments</t>
  </si>
  <si>
    <t>têtes</t>
  </si>
  <si>
    <t>Engraissement</t>
  </si>
  <si>
    <t>Mortalité</t>
  </si>
  <si>
    <t>Gain moyen quotidien</t>
  </si>
  <si>
    <t>Marge avant rémunération du travail et de l'avoir propre. Autrement dit, la valeur affichée dans cette case correspond à l'argent qu'il reste pour rémunérer les exploitants, la famille, les salariés et l'avoir des propriétaires.</t>
  </si>
  <si>
    <t>Les immobilisations (animaux reproducteurs, fonds de terre, bâtiments, machinerie, équipements et matériel roulant) sont présentées à la valeur aux livres (coût d'acquisition amorti).</t>
  </si>
  <si>
    <t>Encaisse, comptes à recevoir, frais payés d'avance, valeur des inventaires de porcs, de porcelets, de récoltes et d'aliments. Des montants unitaires standardisés ont été utilisés afin de déterminer la valeur des inventaires.</t>
  </si>
  <si>
    <t>Afficher pour voir</t>
  </si>
  <si>
    <t>Inclut tous les autres revenus tels que la vente de cultures et de fumier, la location et le forfait de faible importance, les intérêts, les ristournes, les subventions et autres.</t>
  </si>
  <si>
    <t>L’utilisation du contenu demeure sous l’entière responsabilité des usagers. Le CECPA n’est aucunement responsable de toute inexactitude, erreur, omission ou faute qui pourrait découler, directement ou indirectement, de son utilisation. De même, le CECPA n'assume aucune responsabilité quant à l'indexation des données qui est sujette à changements selon la disponibilité des indices.</t>
  </si>
  <si>
    <t>Les résultats présentés comportent certaines limites dans leur interprétation. La proportion d'aliments achetés ou fabriqués, l'utilisation de l'élevage à forfait et plusieurs autres facteurs peuvent influencer les résultats présentés d'une entreprise.</t>
  </si>
  <si>
    <t>Variation des inventaires d'animaux</t>
  </si>
  <si>
    <t>Variation des inventaires de cultures</t>
  </si>
  <si>
    <t>Bien-être animal (2019)</t>
  </si>
  <si>
    <t>Vérification FADQ</t>
  </si>
  <si>
    <t>Frais variables</t>
  </si>
  <si>
    <t>Frais variables + programmes</t>
  </si>
  <si>
    <t>Frais fixes</t>
  </si>
  <si>
    <t>Sous-produits</t>
  </si>
  <si>
    <t>Frais monétaires</t>
  </si>
  <si>
    <t>Frais non monétaires</t>
  </si>
  <si>
    <t>Coût de production</t>
  </si>
  <si>
    <t xml:space="preserve">Le CECPA vous présente aujourd'hui, en format Excel, les résultats de son étude de coûts de production du secteur Veaux de grain que vous pouvez consulter à l'onglet ECP 2018. </t>
  </si>
  <si>
    <t>De plus, avec ce fichier, vous serez à même de comparer (onglet Comparaison) vos résultats à ceux de notre étude ou aux coûts de production indexés annuellement selon des indices reconnus. Vous avez le choix de les comparer en $/veau, en $/100 lb ou en %.</t>
  </si>
  <si>
    <t>Coût de production 2018</t>
  </si>
  <si>
    <t>Indexation 2023</t>
  </si>
  <si>
    <t>par veau</t>
  </si>
  <si>
    <t>par 100 lb</t>
  </si>
  <si>
    <t>Veaux de grain</t>
  </si>
  <si>
    <t>veaux</t>
  </si>
  <si>
    <t>$/veau</t>
  </si>
  <si>
    <t>$/100 lb</t>
  </si>
  <si>
    <t>Veaux non sevrés</t>
  </si>
  <si>
    <t>Achats de veaux sevrés</t>
  </si>
  <si>
    <t>Lactoremplaceur</t>
  </si>
  <si>
    <t>Autres grains</t>
  </si>
  <si>
    <t>Autres aliments (fibres et foin) et analyses</t>
  </si>
  <si>
    <t>Approvisionnement</t>
  </si>
  <si>
    <t>Copeaux de bois</t>
  </si>
  <si>
    <t>Litière paille - T.m.</t>
  </si>
  <si>
    <t>Transport d'animaux à forfait</t>
  </si>
  <si>
    <t>Mise en marché</t>
  </si>
  <si>
    <t>Frais de classement</t>
  </si>
  <si>
    <t>Frais d'annonce</t>
  </si>
  <si>
    <t>Plan conjoint</t>
  </si>
  <si>
    <t>Promotion</t>
  </si>
  <si>
    <t>Recherche &amp; Développement</t>
  </si>
  <si>
    <t>Frais de condamnation</t>
  </si>
  <si>
    <t>Contribution annuelle PBQ par entreprise</t>
  </si>
  <si>
    <t>Corde à presse, plastique, pellicule</t>
  </si>
  <si>
    <t>Électricité et chauffage</t>
  </si>
  <si>
    <t xml:space="preserve">Électricité </t>
  </si>
  <si>
    <t>Propane &amp; gaz naturel étable</t>
  </si>
  <si>
    <t>Propane &amp; gaz naturel cultures</t>
  </si>
  <si>
    <t>Élevages forfait (démarrage)</t>
  </si>
  <si>
    <t>Élevages forfait (engraissement)</t>
  </si>
  <si>
    <t>Autres forfait veaux de grain</t>
  </si>
  <si>
    <t>Ventes de veaux sevrés</t>
  </si>
  <si>
    <t>Blés</t>
  </si>
  <si>
    <t>Vente de Fumier</t>
  </si>
  <si>
    <t>Veaux de grain assurables</t>
  </si>
  <si>
    <t>Veaux de grain overweight</t>
  </si>
  <si>
    <t>Soutien au prix plancher</t>
  </si>
  <si>
    <t>Frais retenus pour overweight</t>
  </si>
  <si>
    <t>Comparatif Veaux de grain</t>
  </si>
  <si>
    <t>Veaux</t>
  </si>
  <si>
    <t>Lb de veau</t>
  </si>
  <si>
    <t>Revenus de veaux de grain</t>
  </si>
  <si>
    <t>lb</t>
  </si>
  <si>
    <t>Transport à l'achat</t>
  </si>
  <si>
    <t>Commission à l'achat</t>
  </si>
  <si>
    <t>Frais mise en marché</t>
  </si>
  <si>
    <t>Intrants de cultures</t>
  </si>
  <si>
    <t>Kg de veau</t>
  </si>
  <si>
    <t>J54</t>
  </si>
  <si>
    <t>J23</t>
  </si>
  <si>
    <t>J76</t>
  </si>
  <si>
    <t>J95</t>
  </si>
  <si>
    <t>J185</t>
  </si>
  <si>
    <t>Sous-produits veaux</t>
  </si>
  <si>
    <t>lb/veau</t>
  </si>
  <si>
    <t>Inscrivez vos montants annuels totaux pour le veau de grain dans les cases vertes. Ils seront répartis selon l'unité de présentation que vous aurez choisie.</t>
  </si>
  <si>
    <t>ASRA $/veau</t>
  </si>
  <si>
    <t>Revenus pronevant de la vente de veaux de grain et de veaux sevrés.</t>
  </si>
  <si>
    <t>Démarrage</t>
  </si>
  <si>
    <t>lb/jour</t>
  </si>
  <si>
    <t>Compensations des programmes d'assurance stabilisation des revenus agricoles (ASRA) et Agri-Investissement.</t>
  </si>
  <si>
    <t>Équivalent-veau de grain</t>
  </si>
  <si>
    <t>Gain de poids moyen d'un veau durant son engraissement. Il correspond au poids de vente (lb vif) duquel on soustrait le poids d'entrée en engraissement.</t>
  </si>
  <si>
    <t>Les revenus et dépenses de même que l’acquisition et la liquidation d'actifs découlant de l’utilisation personnelle ou pour des activités agricoles non reliées à la production de veaux de grain ne sont pas considérés dans l’évaluation du coût de production.</t>
  </si>
  <si>
    <t>Le bilan des entreprises est reconstitué au 31 décembre 2018.</t>
  </si>
  <si>
    <t>Achats de veaux</t>
  </si>
  <si>
    <t>Veaux sevrés</t>
  </si>
  <si>
    <t>/veau</t>
  </si>
  <si>
    <t>/100 lb</t>
  </si>
  <si>
    <t>Moulée</t>
  </si>
  <si>
    <t>Élevages à forfait - Démarrage</t>
  </si>
  <si>
    <t>Élevages à forfait - Engraissement</t>
  </si>
  <si>
    <t>Autres forfait veau de grain</t>
  </si>
  <si>
    <t>Ventes de cultures</t>
  </si>
  <si>
    <t>Vente de fumier</t>
  </si>
  <si>
    <t>Inventaires des veaux</t>
  </si>
  <si>
    <t>Veau</t>
  </si>
  <si>
    <t>Agri-Investissement</t>
  </si>
  <si>
    <t>V54</t>
  </si>
  <si>
    <t>Moulées</t>
  </si>
  <si>
    <t>V23</t>
  </si>
  <si>
    <t>V43</t>
  </si>
  <si>
    <t>V60</t>
  </si>
  <si>
    <t>V76</t>
  </si>
  <si>
    <t>V95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</si>
</sst>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7" formatCode="#,##0.00\ &quot;$&quot;_);\(#,##0.00\ &quot;$&quot;\)"/>
    <numFmt numFmtId="44" formatCode="_ * #,##0.00_)\ &quot;$&quot;_ ;_ * \(#,##0.00\)\ &quot;$&quot;_ ;_ * &quot;-&quot;??_)\ &quot;$&quot;_ ;_ @_ "/>
    <numFmt numFmtId="164" formatCode="_ * #,##0.00_)\ _$_ ;_ * \(#,##0.00\)\ _$_ ;_ * &quot;-&quot;??_)\ _$_ ;_ @_ "/>
    <numFmt numFmtId="165" formatCode="0.0"/>
    <numFmt numFmtId="166" formatCode="_ * #,##0_)\ &quot;$&quot;_ ;_ * \(#,##0\)\ &quot;$&quot;_ ;_ * &quot;-&quot;??_)\ &quot;$&quot;_ ;_ @_ "/>
    <numFmt numFmtId="167" formatCode="#,##0_ ;_;\ &quot;&quot;\ ;"/>
    <numFmt numFmtId="168" formatCode="#,##0.0"/>
    <numFmt numFmtId="169" formatCode="_ * #,##0_)\ _$_ ;_ * \(#,##0\)\ _$_ ;_ * &quot;-&quot;??_)\ _$_ ;_ @_ "/>
    <numFmt numFmtId="170" formatCode="0.0%"/>
    <numFmt numFmtId="171" formatCode="#,##0.00\ &quot;$&quot;"/>
    <numFmt numFmtId="172" formatCode="#,##0.0000\ &quot;$&quot;"/>
    <numFmt numFmtId="173" formatCode="_ * #,##0.00000_)\ &quot;$&quot;_ ;_ * \(#,##0.00000\)\ &quot;$&quot;_ ;_ * &quot;-&quot;??_)\ &quot;$&quot;_ ;_ @_ "/>
    <numFmt numFmtId="174" formatCode="&quot;&quot;0.0&quot; veaux&quot;"/>
    <numFmt numFmtId="175" formatCode="&quot;&quot;0.0&quot; lb/veau&quot;"/>
  </numFmts>
  <fonts count="59">
    <font>
      <sz val="11"/>
      <color theme="1"/>
      <name val="Arial"/>
      <family val="2"/>
    </font>
    <font>
      <sz val="10"/>
      <color theme="1"/>
      <name val="Century Gothic"/>
      <family val="2"/>
    </font>
    <font>
      <sz val="10"/>
      <color theme="1"/>
      <name val="Century Gothic"/>
      <family val="2"/>
    </font>
    <font>
      <sz val="11"/>
      <color theme="1"/>
      <name val="Arial"/>
      <family val="2"/>
    </font>
    <font>
      <sz val="10"/>
      <color theme="1"/>
      <name val="Trebuchet MS"/>
      <family val="2"/>
    </font>
    <font>
      <sz val="28"/>
      <color theme="1"/>
      <name val="Century Gothic"/>
      <family val="2"/>
    </font>
    <font>
      <sz val="10"/>
      <color theme="1"/>
      <name val="Century Gothic"/>
      <family val="2"/>
    </font>
    <font>
      <sz val="10"/>
      <color theme="5"/>
      <name val="Century Gothic"/>
      <family val="2"/>
    </font>
    <font>
      <sz val="10"/>
      <color rgb="FF37B94B"/>
      <name val="Century Gothic"/>
      <family val="2"/>
    </font>
    <font>
      <b/>
      <sz val="10"/>
      <color theme="1"/>
      <name val="Century Gothic"/>
      <family val="2"/>
    </font>
    <font>
      <b/>
      <i/>
      <sz val="10"/>
      <color theme="1"/>
      <name val="Century Gothic"/>
      <family val="2"/>
    </font>
    <font>
      <sz val="10"/>
      <color theme="0"/>
      <name val="Century Gothic"/>
      <family val="2"/>
    </font>
    <font>
      <sz val="10"/>
      <color theme="1" tint="0.499984740745262"/>
      <name val="Century Gothic"/>
      <family val="2"/>
    </font>
    <font>
      <b/>
      <sz val="9"/>
      <color theme="1"/>
      <name val="Century Gothic"/>
      <family val="2"/>
    </font>
    <font>
      <i/>
      <sz val="10"/>
      <color theme="1"/>
      <name val="Century Gothic"/>
      <family val="2"/>
    </font>
    <font>
      <sz val="11"/>
      <color theme="1"/>
      <name val="Century Gothic"/>
      <family val="2"/>
    </font>
    <font>
      <b/>
      <sz val="10"/>
      <color theme="1"/>
      <name val="Trebuchet MS"/>
      <family val="2"/>
    </font>
    <font>
      <b/>
      <sz val="10"/>
      <color theme="0"/>
      <name val="Century Gothic"/>
      <family val="2"/>
    </font>
    <font>
      <sz val="10"/>
      <name val="Century Gothic"/>
      <family val="2"/>
    </font>
    <font>
      <sz val="10"/>
      <name val="Trebuchet MS"/>
      <family val="2"/>
    </font>
    <font>
      <b/>
      <sz val="10"/>
      <name val="Century Gothic"/>
      <family val="2"/>
    </font>
    <font>
      <b/>
      <sz val="10"/>
      <color rgb="FF215868"/>
      <name val="Century Gothic"/>
      <family val="2"/>
    </font>
    <font>
      <b/>
      <sz val="10"/>
      <name val="Trebuchet MS"/>
      <family val="2"/>
    </font>
    <font>
      <sz val="10"/>
      <color theme="0"/>
      <name val="Trebuchet MS"/>
      <family val="2"/>
    </font>
    <font>
      <sz val="11"/>
      <color theme="1"/>
      <name val="Trebuchet MS"/>
      <family val="2"/>
    </font>
    <font>
      <sz val="10"/>
      <color rgb="FF404040"/>
      <name val="Trebuchet MS"/>
      <family val="2"/>
    </font>
    <font>
      <b/>
      <sz val="10"/>
      <color theme="5" tint="-0.249977111117893"/>
      <name val="Trebuchet MS"/>
      <family val="2"/>
    </font>
    <font>
      <sz val="10"/>
      <color theme="4" tint="-0.499984740745262"/>
      <name val="Trebuchet MS"/>
      <family val="2"/>
    </font>
    <font>
      <sz val="9"/>
      <color rgb="FF404040"/>
      <name val="Trebuchet MS"/>
      <family val="2"/>
    </font>
    <font>
      <b/>
      <sz val="10"/>
      <color rgb="FF404040"/>
      <name val="Trebuchet MS"/>
      <family val="2"/>
    </font>
    <font>
      <sz val="10"/>
      <color rgb="FF404040"/>
      <name val="Arial"/>
      <family val="2"/>
    </font>
    <font>
      <sz val="9"/>
      <color theme="1"/>
      <name val="Arial"/>
      <family val="2"/>
    </font>
    <font>
      <b/>
      <sz val="10"/>
      <color theme="1"/>
      <name val="Arial"/>
      <family val="2"/>
    </font>
    <font>
      <b/>
      <sz val="10"/>
      <color theme="0" tint="-4.9989318521683403E-2"/>
      <name val="Trebuchet MS"/>
      <family val="2"/>
    </font>
    <font>
      <b/>
      <sz val="10"/>
      <color theme="4" tint="-0.499984740745262"/>
      <name val="Trebuchet MS"/>
      <family val="2"/>
    </font>
    <font>
      <sz val="11"/>
      <color indexed="8"/>
      <name val="Arial"/>
      <family val="2"/>
    </font>
    <font>
      <sz val="28"/>
      <color theme="1"/>
      <name val="Gotham Black"/>
      <family val="3"/>
    </font>
    <font>
      <sz val="11"/>
      <color theme="1"/>
      <name val="Gotham"/>
    </font>
    <font>
      <sz val="36"/>
      <color theme="1"/>
      <name val="Gotham Black"/>
      <family val="3"/>
    </font>
    <font>
      <b/>
      <sz val="11"/>
      <color theme="1"/>
      <name val="Arial"/>
      <family val="2"/>
    </font>
    <font>
      <sz val="14"/>
      <color theme="1"/>
      <name val="Century Gothic"/>
      <family val="2"/>
    </font>
    <font>
      <b/>
      <sz val="11"/>
      <color theme="1"/>
      <name val="Century Gothic"/>
      <family val="2"/>
    </font>
    <font>
      <u/>
      <sz val="11"/>
      <color theme="10"/>
      <name val="Arial"/>
      <family val="2"/>
    </font>
    <font>
      <sz val="10"/>
      <color theme="1" tint="0.34998626667073579"/>
      <name val="Century Gothic"/>
      <family val="2"/>
    </font>
    <font>
      <sz val="9"/>
      <color theme="1" tint="0.499984740745262"/>
      <name val="Century Gothic"/>
      <family val="2"/>
    </font>
    <font>
      <sz val="9"/>
      <color theme="1"/>
      <name val="Century Gothic"/>
      <family val="2"/>
    </font>
    <font>
      <sz val="10"/>
      <color rgb="FF215868"/>
      <name val="Century Gothic"/>
      <family val="2"/>
    </font>
    <font>
      <b/>
      <sz val="10"/>
      <color theme="1" tint="0.499984740745262"/>
      <name val="Century Gothic"/>
      <family val="2"/>
    </font>
    <font>
      <b/>
      <i/>
      <sz val="10"/>
      <color theme="0"/>
      <name val="Century Gothic"/>
      <family val="2"/>
    </font>
    <font>
      <sz val="11"/>
      <color theme="1" tint="0.499984740745262"/>
      <name val="Trebuchet MS"/>
      <family val="2"/>
    </font>
    <font>
      <sz val="11"/>
      <color theme="1" tint="0.499984740745262"/>
      <name val="Arial"/>
      <family val="2"/>
    </font>
    <font>
      <b/>
      <sz val="11"/>
      <color theme="1"/>
      <name val="Trebuchet MS"/>
      <family val="2"/>
    </font>
    <font>
      <sz val="11"/>
      <name val="Century Gothic"/>
      <family val="2"/>
    </font>
    <font>
      <b/>
      <i/>
      <sz val="10"/>
      <name val="Century Gothic"/>
      <family val="2"/>
    </font>
    <font>
      <sz val="10"/>
      <name val="Gotham"/>
    </font>
    <font>
      <b/>
      <sz val="10"/>
      <color theme="1"/>
      <name val="Gotham"/>
    </font>
    <font>
      <u/>
      <sz val="11"/>
      <name val="Arial"/>
      <family val="2"/>
    </font>
    <font>
      <u/>
      <sz val="11"/>
      <color rgb="FF37B94B"/>
      <name val="Arial"/>
      <family val="2"/>
    </font>
    <font>
      <sz val="9"/>
      <name val="Century Gothic"/>
      <family val="2"/>
    </font>
  </fonts>
  <fills count="18">
    <fill>
      <patternFill patternType="none"/>
    </fill>
    <fill>
      <patternFill patternType="gray125"/>
    </fill>
    <fill>
      <patternFill patternType="solid">
        <fgColor rgb="FF92D050"/>
        <bgColor indexed="64"/>
      </patternFill>
    </fill>
    <fill>
      <patternFill patternType="solid">
        <fgColor rgb="FF37B94B"/>
        <bgColor indexed="64"/>
      </patternFill>
    </fill>
    <fill>
      <patternFill patternType="solid">
        <fgColor theme="0" tint="-0.14999847407452621"/>
        <bgColor indexed="64"/>
      </patternFill>
    </fill>
    <fill>
      <patternFill patternType="solid">
        <fgColor theme="0"/>
        <bgColor indexed="64"/>
      </patternFill>
    </fill>
    <fill>
      <patternFill patternType="solid">
        <fgColor theme="5" tint="0.79998168889431442"/>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rgb="FF00B0F0"/>
        <bgColor indexed="64"/>
      </patternFill>
    </fill>
    <fill>
      <patternFill patternType="solid">
        <fgColor theme="4" tint="0.39997558519241921"/>
        <bgColor indexed="64"/>
      </patternFill>
    </fill>
    <fill>
      <patternFill patternType="solid">
        <fgColor theme="4" tint="0.79998168889431442"/>
        <bgColor indexed="64"/>
      </patternFill>
    </fill>
    <fill>
      <patternFill patternType="solid">
        <fgColor theme="4"/>
        <bgColor indexed="64"/>
      </patternFill>
    </fill>
    <fill>
      <patternFill patternType="solid">
        <fgColor theme="8"/>
        <bgColor indexed="64"/>
      </patternFill>
    </fill>
    <fill>
      <patternFill patternType="solid">
        <fgColor rgb="FFC91F0D"/>
        <bgColor indexed="64"/>
      </patternFill>
    </fill>
    <fill>
      <patternFill patternType="solid">
        <fgColor rgb="FF0070C0"/>
        <bgColor indexed="64"/>
      </patternFill>
    </fill>
    <fill>
      <patternFill patternType="solid">
        <fgColor rgb="FFE8E8E8"/>
        <bgColor indexed="64"/>
      </patternFill>
    </fill>
  </fills>
  <borders count="42">
    <border>
      <left/>
      <right/>
      <top/>
      <bottom/>
      <diagonal/>
    </border>
    <border>
      <left/>
      <right/>
      <top/>
      <bottom style="thin">
        <color theme="1" tint="0.499984740745262"/>
      </bottom>
      <diagonal/>
    </border>
    <border>
      <left/>
      <right/>
      <top style="thin">
        <color theme="1" tint="0.499984740745262"/>
      </top>
      <bottom/>
      <diagonal/>
    </border>
    <border>
      <left style="thin">
        <color theme="0" tint="-0.14993743705557422"/>
      </left>
      <right/>
      <top style="thin">
        <color theme="0" tint="-0.14993743705557422"/>
      </top>
      <bottom style="thin">
        <color theme="0" tint="-0.14993743705557422"/>
      </bottom>
      <diagonal/>
    </border>
    <border>
      <left/>
      <right/>
      <top style="thin">
        <color theme="0" tint="-0.14993743705557422"/>
      </top>
      <bottom style="thin">
        <color theme="0" tint="-0.14993743705557422"/>
      </bottom>
      <diagonal/>
    </border>
    <border>
      <left/>
      <right style="thin">
        <color theme="0" tint="-0.14993743705557422"/>
      </right>
      <top style="thin">
        <color theme="0" tint="-0.14993743705557422"/>
      </top>
      <bottom style="thin">
        <color theme="0" tint="-0.14993743705557422"/>
      </bottom>
      <diagonal/>
    </border>
    <border>
      <left/>
      <right/>
      <top/>
      <bottom style="medium">
        <color rgb="FF37B94B"/>
      </bottom>
      <diagonal/>
    </border>
    <border>
      <left/>
      <right/>
      <top/>
      <bottom style="thin">
        <color rgb="FF37B94B"/>
      </bottom>
      <diagonal/>
    </border>
    <border>
      <left/>
      <right style="thin">
        <color theme="1" tint="0.499984740745262"/>
      </right>
      <top/>
      <bottom/>
      <diagonal/>
    </border>
    <border>
      <left/>
      <right style="thin">
        <color theme="1" tint="0.499984740745262"/>
      </right>
      <top/>
      <bottom style="thin">
        <color theme="1" tint="0.499984740745262"/>
      </bottom>
      <diagonal/>
    </border>
    <border>
      <left/>
      <right/>
      <top/>
      <bottom style="thin">
        <color theme="0" tint="-0.24994659260841701"/>
      </bottom>
      <diagonal/>
    </border>
    <border>
      <left style="thin">
        <color theme="1" tint="0.499984740745262"/>
      </left>
      <right/>
      <top style="thin">
        <color theme="1" tint="0.499984740745262"/>
      </top>
      <bottom style="thin">
        <color theme="1" tint="0.499984740745262"/>
      </bottom>
      <diagonal/>
    </border>
    <border>
      <left/>
      <right/>
      <top style="thin">
        <color theme="1" tint="0.499984740745262"/>
      </top>
      <bottom style="thin">
        <color theme="1" tint="0.499984740745262"/>
      </bottom>
      <diagonal/>
    </border>
    <border>
      <left style="thin">
        <color theme="1" tint="0.499984740745262"/>
      </left>
      <right/>
      <top style="thin">
        <color theme="1" tint="0.499984740745262"/>
      </top>
      <bottom/>
      <diagonal/>
    </border>
    <border>
      <left style="thin">
        <color theme="1" tint="0.499984740745262"/>
      </left>
      <right/>
      <top/>
      <bottom/>
      <diagonal/>
    </border>
    <border>
      <left style="thin">
        <color theme="1" tint="0.499984740745262"/>
      </left>
      <right/>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style="thin">
        <color theme="1" tint="0.499984740745262"/>
      </bottom>
      <diagonal/>
    </border>
    <border>
      <left/>
      <right style="thin">
        <color theme="1" tint="0.499984740745262"/>
      </right>
      <top style="thin">
        <color theme="1" tint="0.499984740745262"/>
      </top>
      <bottom/>
      <diagonal/>
    </border>
    <border>
      <left style="thin">
        <color theme="1" tint="0.499984740745262"/>
      </left>
      <right style="thin">
        <color theme="1" tint="0.499984740745262"/>
      </right>
      <top style="thin">
        <color theme="1" tint="0.499984740745262"/>
      </top>
      <bottom/>
      <diagonal/>
    </border>
    <border>
      <left style="thin">
        <color theme="1" tint="0.499984740745262"/>
      </left>
      <right style="thin">
        <color theme="1" tint="0.499984740745262"/>
      </right>
      <top/>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style="thin">
        <color theme="0"/>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thin">
        <color theme="1" tint="0.499984740745262"/>
      </top>
      <bottom style="thin">
        <color theme="1" tint="0.499984740745262"/>
      </bottom>
      <diagonal/>
    </border>
    <border>
      <left style="medium">
        <color indexed="64"/>
      </left>
      <right style="medium">
        <color indexed="64"/>
      </right>
      <top style="thin">
        <color theme="1" tint="0.499984740745262"/>
      </top>
      <bottom/>
      <diagonal/>
    </border>
    <border>
      <left style="medium">
        <color indexed="64"/>
      </left>
      <right style="medium">
        <color indexed="64"/>
      </right>
      <top/>
      <bottom style="thin">
        <color theme="1" tint="0.499984740745262"/>
      </bottom>
      <diagonal/>
    </border>
    <border>
      <left/>
      <right/>
      <top style="medium">
        <color rgb="FF37B94B"/>
      </top>
      <bottom style="thin">
        <color rgb="FF37B94B"/>
      </bottom>
      <diagonal/>
    </border>
    <border>
      <left/>
      <right style="thin">
        <color theme="1" tint="0.499984740745262"/>
      </right>
      <top/>
      <bottom style="thin">
        <color rgb="FF37B94B"/>
      </bottom>
      <diagonal/>
    </border>
    <border>
      <left/>
      <right/>
      <top style="thin">
        <color rgb="FF37B94B"/>
      </top>
      <bottom/>
      <diagonal/>
    </border>
    <border>
      <left style="medium">
        <color indexed="64"/>
      </left>
      <right style="medium">
        <color indexed="64"/>
      </right>
      <top/>
      <bottom style="medium">
        <color indexed="64"/>
      </bottom>
      <diagonal/>
    </border>
  </borders>
  <cellStyleXfs count="6">
    <xf numFmtId="0" fontId="0" fillId="0" borderId="0"/>
    <xf numFmtId="164" fontId="3" fillId="0" borderId="0" applyFont="0" applyFill="0" applyBorder="0" applyAlignment="0" applyProtection="0"/>
    <xf numFmtId="44" fontId="3" fillId="0" borderId="0" applyFont="0" applyFill="0" applyBorder="0" applyAlignment="0" applyProtection="0"/>
    <xf numFmtId="9" fontId="3" fillId="0" borderId="0" applyFont="0" applyFill="0" applyBorder="0" applyAlignment="0" applyProtection="0"/>
    <xf numFmtId="9" fontId="35" fillId="0" borderId="0" applyFont="0" applyFill="0" applyBorder="0" applyAlignment="0" applyProtection="0"/>
    <xf numFmtId="0" fontId="42" fillId="0" borderId="0" applyNumberFormat="0" applyFill="0" applyBorder="0" applyAlignment="0" applyProtection="0">
      <alignment vertical="top"/>
      <protection locked="0"/>
    </xf>
  </cellStyleXfs>
  <cellXfs count="644">
    <xf numFmtId="0" fontId="0" fillId="0" borderId="0" xfId="0"/>
    <xf numFmtId="3" fontId="6" fillId="2" borderId="0" xfId="1" applyNumberFormat="1" applyFont="1" applyFill="1" applyBorder="1" applyAlignment="1" applyProtection="1">
      <alignment horizontal="center"/>
      <protection locked="0"/>
    </xf>
    <xf numFmtId="166" fontId="6" fillId="2" borderId="0" xfId="2" applyNumberFormat="1" applyFont="1" applyFill="1" applyProtection="1">
      <protection locked="0"/>
    </xf>
    <xf numFmtId="166" fontId="6" fillId="2" borderId="0" xfId="0" applyNumberFormat="1" applyFont="1" applyFill="1" applyProtection="1">
      <protection locked="0"/>
    </xf>
    <xf numFmtId="0" fontId="17" fillId="3" borderId="0" xfId="0" applyFont="1" applyFill="1" applyBorder="1" applyProtection="1"/>
    <xf numFmtId="0" fontId="9" fillId="3" borderId="8" xfId="0" applyFont="1" applyFill="1" applyBorder="1" applyProtection="1"/>
    <xf numFmtId="0" fontId="9" fillId="3" borderId="0" xfId="0" applyFont="1" applyFill="1" applyBorder="1" applyProtection="1"/>
    <xf numFmtId="166" fontId="9" fillId="3" borderId="0" xfId="0" applyNumberFormat="1" applyFont="1" applyFill="1" applyBorder="1" applyProtection="1"/>
    <xf numFmtId="44" fontId="9" fillId="3" borderId="0" xfId="0" applyNumberFormat="1" applyFont="1" applyFill="1" applyBorder="1" applyProtection="1"/>
    <xf numFmtId="0" fontId="6" fillId="3" borderId="8" xfId="0" applyFont="1" applyFill="1" applyBorder="1" applyProtection="1"/>
    <xf numFmtId="166" fontId="9" fillId="3" borderId="0" xfId="2" applyNumberFormat="1" applyFont="1" applyFill="1" applyBorder="1" applyAlignment="1" applyProtection="1">
      <alignment horizontal="left"/>
    </xf>
    <xf numFmtId="166" fontId="6" fillId="3" borderId="0" xfId="0" applyNumberFormat="1" applyFont="1" applyFill="1" applyBorder="1" applyProtection="1"/>
    <xf numFmtId="44" fontId="9" fillId="3" borderId="0" xfId="2" applyNumberFormat="1" applyFont="1" applyFill="1" applyBorder="1" applyAlignment="1" applyProtection="1">
      <alignment horizontal="left"/>
    </xf>
    <xf numFmtId="44" fontId="9" fillId="3" borderId="0" xfId="0" applyNumberFormat="1" applyFont="1" applyFill="1" applyBorder="1" applyAlignment="1" applyProtection="1">
      <alignment horizontal="left"/>
    </xf>
    <xf numFmtId="166" fontId="9" fillId="3" borderId="0" xfId="0" applyNumberFormat="1" applyFont="1" applyFill="1" applyBorder="1" applyAlignment="1" applyProtection="1">
      <alignment horizontal="left"/>
    </xf>
    <xf numFmtId="0" fontId="24" fillId="5" borderId="0" xfId="0" applyFont="1" applyFill="1" applyBorder="1"/>
    <xf numFmtId="0" fontId="4" fillId="5" borderId="0" xfId="0" applyFont="1" applyFill="1" applyBorder="1"/>
    <xf numFmtId="0" fontId="22" fillId="4" borderId="11" xfId="0" applyFont="1" applyFill="1" applyBorder="1" applyAlignment="1">
      <alignment horizontal="left" vertical="center" indent="1"/>
    </xf>
    <xf numFmtId="0" fontId="22" fillId="4" borderId="12" xfId="0" applyFont="1" applyFill="1" applyBorder="1" applyAlignment="1">
      <alignment horizontal="left" vertical="center" indent="1"/>
    </xf>
    <xf numFmtId="0" fontId="25" fillId="0" borderId="0" xfId="0" applyFont="1" applyFill="1"/>
    <xf numFmtId="0" fontId="25" fillId="0" borderId="0" xfId="0" applyFont="1" applyFill="1" applyBorder="1"/>
    <xf numFmtId="0" fontId="16" fillId="0" borderId="0" xfId="0" applyFont="1"/>
    <xf numFmtId="0" fontId="25" fillId="0" borderId="13" xfId="0" applyFont="1" applyFill="1" applyBorder="1"/>
    <xf numFmtId="0" fontId="25" fillId="0" borderId="2" xfId="0" applyFont="1" applyFill="1" applyBorder="1" applyAlignment="1">
      <alignment horizontal="left"/>
    </xf>
    <xf numFmtId="0" fontId="25" fillId="0" borderId="14" xfId="0" applyFont="1" applyFill="1" applyBorder="1"/>
    <xf numFmtId="0" fontId="25" fillId="0" borderId="0" xfId="0" applyFont="1" applyFill="1" applyBorder="1" applyAlignment="1"/>
    <xf numFmtId="0" fontId="25" fillId="0" borderId="15" xfId="0" applyFont="1" applyFill="1" applyBorder="1" applyAlignment="1">
      <alignment horizontal="left" indent="1"/>
    </xf>
    <xf numFmtId="167" fontId="26" fillId="0" borderId="1" xfId="0" applyNumberFormat="1" applyFont="1" applyFill="1" applyBorder="1" applyAlignment="1">
      <alignment horizontal="left"/>
    </xf>
    <xf numFmtId="0" fontId="4" fillId="0" borderId="0" xfId="0" applyFont="1" applyBorder="1"/>
    <xf numFmtId="0" fontId="16" fillId="0" borderId="0" xfId="0" applyFont="1" applyBorder="1"/>
    <xf numFmtId="0" fontId="25" fillId="0" borderId="2" xfId="0" applyFont="1" applyFill="1" applyBorder="1" applyAlignment="1"/>
    <xf numFmtId="0" fontId="25" fillId="0" borderId="15" xfId="0" applyFont="1" applyFill="1" applyBorder="1"/>
    <xf numFmtId="0" fontId="4" fillId="0" borderId="0" xfId="0" applyFont="1" applyFill="1" applyBorder="1"/>
    <xf numFmtId="0" fontId="16" fillId="0" borderId="0" xfId="0" applyFont="1" applyFill="1" applyBorder="1"/>
    <xf numFmtId="0" fontId="27" fillId="0" borderId="0" xfId="0" applyFont="1" applyFill="1" applyBorder="1" applyAlignment="1">
      <alignment horizontal="left" indent="1"/>
    </xf>
    <xf numFmtId="167" fontId="27" fillId="0" borderId="0" xfId="0" applyNumberFormat="1" applyFont="1" applyFill="1" applyBorder="1" applyAlignment="1">
      <alignment horizontal="right" indent="2"/>
    </xf>
    <xf numFmtId="167" fontId="27" fillId="0" borderId="0" xfId="0" applyNumberFormat="1" applyFont="1" applyFill="1" applyBorder="1" applyAlignment="1">
      <alignment horizontal="left" indent="2"/>
    </xf>
    <xf numFmtId="0" fontId="4" fillId="0" borderId="13" xfId="0" applyFont="1" applyFill="1" applyBorder="1"/>
    <xf numFmtId="0" fontId="4" fillId="0" borderId="14" xfId="0" applyFont="1" applyFill="1" applyBorder="1"/>
    <xf numFmtId="0" fontId="27" fillId="0" borderId="15" xfId="0" applyFont="1" applyFill="1" applyBorder="1" applyAlignment="1">
      <alignment horizontal="left" indent="1"/>
    </xf>
    <xf numFmtId="0" fontId="28" fillId="0" borderId="0" xfId="0" applyFont="1" applyFill="1" applyBorder="1" applyAlignment="1"/>
    <xf numFmtId="0" fontId="4" fillId="0" borderId="0" xfId="0" applyFont="1"/>
    <xf numFmtId="167" fontId="27" fillId="0" borderId="0" xfId="0" applyNumberFormat="1" applyFont="1" applyFill="1" applyBorder="1" applyAlignment="1">
      <alignment horizontal="center"/>
    </xf>
    <xf numFmtId="0" fontId="28" fillId="0" borderId="0" xfId="0" applyFont="1" applyFill="1" applyBorder="1" applyAlignment="1">
      <alignment horizontal="left"/>
    </xf>
    <xf numFmtId="0" fontId="25" fillId="0" borderId="0" xfId="0" applyFont="1" applyFill="1" applyBorder="1" applyAlignment="1">
      <alignment horizontal="left"/>
    </xf>
    <xf numFmtId="0" fontId="29" fillId="6" borderId="13" xfId="0" applyFont="1" applyFill="1" applyBorder="1" applyAlignment="1">
      <alignment horizontal="left" vertical="center" indent="1"/>
    </xf>
    <xf numFmtId="0" fontId="29" fillId="6" borderId="2" xfId="0" applyFont="1" applyFill="1" applyBorder="1" applyAlignment="1">
      <alignment vertical="center"/>
    </xf>
    <xf numFmtId="0" fontId="30" fillId="0" borderId="14" xfId="0" applyFont="1" applyFill="1" applyBorder="1"/>
    <xf numFmtId="2" fontId="25" fillId="0" borderId="0" xfId="2" applyNumberFormat="1" applyFont="1" applyFill="1" applyBorder="1" applyAlignment="1">
      <alignment horizontal="center"/>
    </xf>
    <xf numFmtId="0" fontId="30" fillId="0" borderId="0" xfId="0" applyFont="1" applyFill="1" applyBorder="1"/>
    <xf numFmtId="0" fontId="29" fillId="6" borderId="14" xfId="0" applyFont="1" applyFill="1" applyBorder="1" applyAlignment="1">
      <alignment horizontal="left" vertical="center" indent="1"/>
    </xf>
    <xf numFmtId="0" fontId="29" fillId="6" borderId="0" xfId="0" applyFont="1" applyFill="1" applyBorder="1" applyAlignment="1">
      <alignment vertical="center"/>
    </xf>
    <xf numFmtId="0" fontId="25" fillId="0" borderId="0" xfId="0" applyFont="1" applyFill="1" applyBorder="1" applyAlignment="1">
      <alignment horizontal="left" indent="1"/>
    </xf>
    <xf numFmtId="0" fontId="25" fillId="6" borderId="14" xfId="0" applyFont="1" applyFill="1" applyBorder="1" applyAlignment="1"/>
    <xf numFmtId="0" fontId="19" fillId="0" borderId="14" xfId="0" applyFont="1" applyFill="1" applyBorder="1" applyAlignment="1"/>
    <xf numFmtId="0" fontId="25" fillId="0" borderId="0" xfId="0" applyFont="1" applyFill="1" applyBorder="1" applyAlignment="1">
      <alignment horizontal="right"/>
    </xf>
    <xf numFmtId="0" fontId="24" fillId="0" borderId="0" xfId="0" applyFont="1"/>
    <xf numFmtId="0" fontId="0" fillId="0" borderId="0" xfId="0" applyFill="1"/>
    <xf numFmtId="0" fontId="22" fillId="4" borderId="16" xfId="0" applyFont="1" applyFill="1" applyBorder="1" applyAlignment="1">
      <alignment horizontal="left" vertical="center"/>
    </xf>
    <xf numFmtId="0" fontId="31" fillId="0" borderId="0" xfId="0" applyFont="1" applyFill="1" applyBorder="1"/>
    <xf numFmtId="3" fontId="25" fillId="0" borderId="0" xfId="0" applyNumberFormat="1" applyFont="1" applyFill="1" applyBorder="1" applyAlignment="1">
      <alignment horizontal="center"/>
    </xf>
    <xf numFmtId="168" fontId="25" fillId="0" borderId="0" xfId="0" applyNumberFormat="1" applyFont="1" applyFill="1" applyBorder="1" applyAlignment="1">
      <alignment horizontal="center"/>
    </xf>
    <xf numFmtId="2" fontId="25" fillId="0" borderId="0" xfId="0" applyNumberFormat="1" applyFont="1" applyFill="1" applyAlignment="1">
      <alignment horizontal="center"/>
    </xf>
    <xf numFmtId="169" fontId="25" fillId="0" borderId="0" xfId="1" applyNumberFormat="1" applyFont="1" applyFill="1" applyBorder="1" applyAlignment="1">
      <alignment horizontal="center"/>
    </xf>
    <xf numFmtId="165" fontId="25" fillId="0" borderId="0" xfId="0" applyNumberFormat="1" applyFont="1" applyFill="1" applyBorder="1" applyAlignment="1">
      <alignment horizontal="center"/>
    </xf>
    <xf numFmtId="165" fontId="25" fillId="0" borderId="0" xfId="0" applyNumberFormat="1" applyFont="1" applyFill="1" applyAlignment="1">
      <alignment horizontal="center"/>
    </xf>
    <xf numFmtId="1" fontId="25" fillId="0" borderId="0" xfId="0" applyNumberFormat="1" applyFont="1" applyFill="1" applyBorder="1" applyAlignment="1">
      <alignment horizontal="center"/>
    </xf>
    <xf numFmtId="170" fontId="25" fillId="0" borderId="0" xfId="3" applyNumberFormat="1" applyFont="1" applyFill="1" applyBorder="1" applyAlignment="1">
      <alignment horizontal="center"/>
    </xf>
    <xf numFmtId="0" fontId="22" fillId="4" borderId="16" xfId="0" applyFont="1" applyFill="1" applyBorder="1" applyAlignment="1">
      <alignment horizontal="center" vertical="center"/>
    </xf>
    <xf numFmtId="0" fontId="32" fillId="4" borderId="17" xfId="0" applyFont="1" applyFill="1" applyBorder="1" applyAlignment="1">
      <alignment horizontal="center"/>
    </xf>
    <xf numFmtId="165" fontId="25" fillId="0" borderId="2" xfId="0" applyNumberFormat="1" applyFont="1" applyFill="1" applyBorder="1" applyAlignment="1">
      <alignment horizontal="left"/>
    </xf>
    <xf numFmtId="44" fontId="25" fillId="0" borderId="2" xfId="2" applyFont="1" applyFill="1" applyBorder="1" applyAlignment="1">
      <alignment horizontal="center"/>
    </xf>
    <xf numFmtId="166" fontId="25" fillId="0" borderId="18" xfId="2" applyNumberFormat="1" applyFont="1" applyFill="1" applyBorder="1" applyAlignment="1">
      <alignment horizontal="center"/>
    </xf>
    <xf numFmtId="166" fontId="25" fillId="0" borderId="8" xfId="2" applyNumberFormat="1" applyFont="1" applyFill="1" applyBorder="1" applyAlignment="1">
      <alignment horizontal="center"/>
    </xf>
    <xf numFmtId="44" fontId="25" fillId="0" borderId="20" xfId="2" applyNumberFormat="1" applyFont="1" applyFill="1" applyBorder="1" applyAlignment="1">
      <alignment horizontal="center"/>
    </xf>
    <xf numFmtId="2" fontId="26" fillId="0" borderId="1" xfId="2" applyNumberFormat="1" applyFont="1" applyFill="1" applyBorder="1" applyAlignment="1">
      <alignment horizontal="center"/>
    </xf>
    <xf numFmtId="2" fontId="26" fillId="0" borderId="1" xfId="0" applyNumberFormat="1" applyFont="1" applyFill="1" applyBorder="1" applyAlignment="1">
      <alignment horizontal="center"/>
    </xf>
    <xf numFmtId="166" fontId="26" fillId="0" borderId="9" xfId="2" applyNumberFormat="1" applyFont="1" applyFill="1" applyBorder="1" applyAlignment="1">
      <alignment horizontal="center"/>
    </xf>
    <xf numFmtId="0" fontId="26" fillId="0" borderId="0" xfId="0" applyFont="1" applyFill="1" applyBorder="1"/>
    <xf numFmtId="44" fontId="26" fillId="0" borderId="21" xfId="2" applyNumberFormat="1" applyFont="1" applyFill="1" applyBorder="1" applyAlignment="1">
      <alignment horizontal="center"/>
    </xf>
    <xf numFmtId="4" fontId="25" fillId="0" borderId="2" xfId="0" applyNumberFormat="1" applyFont="1" applyFill="1" applyBorder="1" applyAlignment="1">
      <alignment horizontal="center"/>
    </xf>
    <xf numFmtId="0" fontId="25" fillId="0" borderId="2" xfId="0" applyFont="1" applyFill="1" applyBorder="1"/>
    <xf numFmtId="4" fontId="25" fillId="0" borderId="0" xfId="0" applyNumberFormat="1" applyFont="1" applyFill="1" applyBorder="1" applyAlignment="1">
      <alignment horizontal="center"/>
    </xf>
    <xf numFmtId="2" fontId="29" fillId="0" borderId="1" xfId="2" applyNumberFormat="1" applyFont="1" applyFill="1" applyBorder="1" applyAlignment="1">
      <alignment horizontal="center"/>
    </xf>
    <xf numFmtId="2" fontId="29" fillId="0" borderId="1" xfId="0" applyNumberFormat="1" applyFont="1" applyFill="1" applyBorder="1" applyAlignment="1">
      <alignment horizontal="center"/>
    </xf>
    <xf numFmtId="0" fontId="29" fillId="0" borderId="0" xfId="0" applyFont="1" applyFill="1" applyBorder="1"/>
    <xf numFmtId="166" fontId="25" fillId="0" borderId="2" xfId="2" applyNumberFormat="1" applyFont="1" applyFill="1" applyBorder="1" applyAlignment="1">
      <alignment horizontal="center"/>
    </xf>
    <xf numFmtId="166" fontId="25" fillId="0" borderId="0" xfId="2" applyNumberFormat="1" applyFont="1" applyFill="1" applyBorder="1" applyAlignment="1">
      <alignment horizontal="center"/>
    </xf>
    <xf numFmtId="166" fontId="26" fillId="0" borderId="1" xfId="2" applyNumberFormat="1" applyFont="1" applyFill="1" applyBorder="1" applyAlignment="1">
      <alignment horizontal="center"/>
    </xf>
    <xf numFmtId="2" fontId="29" fillId="0" borderId="0" xfId="2" applyNumberFormat="1" applyFont="1" applyFill="1" applyBorder="1" applyAlignment="1">
      <alignment horizontal="center"/>
    </xf>
    <xf numFmtId="4" fontId="16" fillId="0" borderId="0" xfId="0" applyNumberFormat="1" applyFont="1" applyFill="1" applyBorder="1" applyAlignment="1">
      <alignment horizontal="center"/>
    </xf>
    <xf numFmtId="0" fontId="33" fillId="0" borderId="0" xfId="0" applyFont="1" applyFill="1" applyBorder="1" applyAlignment="1">
      <alignment horizontal="center" vertical="center"/>
    </xf>
    <xf numFmtId="166" fontId="25" fillId="0" borderId="18" xfId="2" applyNumberFormat="1" applyFont="1" applyFill="1" applyBorder="1"/>
    <xf numFmtId="4" fontId="29" fillId="0" borderId="1" xfId="0" applyNumberFormat="1" applyFont="1" applyFill="1" applyBorder="1" applyAlignment="1">
      <alignment horizontal="center"/>
    </xf>
    <xf numFmtId="0" fontId="29" fillId="0" borderId="1" xfId="0" applyFont="1" applyFill="1" applyBorder="1"/>
    <xf numFmtId="2" fontId="27" fillId="0" borderId="0" xfId="2" applyNumberFormat="1" applyFont="1" applyFill="1" applyBorder="1" applyAlignment="1">
      <alignment horizontal="center"/>
    </xf>
    <xf numFmtId="2" fontId="27" fillId="0" borderId="0" xfId="0" applyNumberFormat="1" applyFont="1" applyFill="1" applyBorder="1" applyAlignment="1">
      <alignment horizontal="center"/>
    </xf>
    <xf numFmtId="166" fontId="34" fillId="0" borderId="0" xfId="2" applyNumberFormat="1" applyFont="1" applyFill="1" applyBorder="1" applyAlignment="1">
      <alignment horizontal="center"/>
    </xf>
    <xf numFmtId="2" fontId="34" fillId="0" borderId="0" xfId="2" applyNumberFormat="1" applyFont="1" applyFill="1" applyBorder="1" applyAlignment="1">
      <alignment horizontal="center"/>
    </xf>
    <xf numFmtId="44" fontId="34" fillId="0" borderId="0" xfId="2" applyNumberFormat="1" applyFont="1" applyFill="1" applyBorder="1" applyAlignment="1">
      <alignment horizontal="center"/>
    </xf>
    <xf numFmtId="165" fontId="25" fillId="0" borderId="2" xfId="0" applyNumberFormat="1" applyFont="1" applyFill="1" applyBorder="1" applyAlignment="1">
      <alignment horizontal="center"/>
    </xf>
    <xf numFmtId="167" fontId="26" fillId="0" borderId="1" xfId="2" applyNumberFormat="1" applyFont="1" applyFill="1" applyBorder="1" applyAlignment="1">
      <alignment horizontal="right" indent="2"/>
    </xf>
    <xf numFmtId="2" fontId="26" fillId="0" borderId="0" xfId="2" applyNumberFormat="1" applyFont="1" applyFill="1" applyBorder="1" applyAlignment="1">
      <alignment horizontal="center"/>
    </xf>
    <xf numFmtId="4" fontId="25" fillId="0" borderId="2" xfId="0" applyNumberFormat="1" applyFont="1" applyFill="1" applyBorder="1" applyAlignment="1">
      <alignment horizontal="left"/>
    </xf>
    <xf numFmtId="4" fontId="25" fillId="0" borderId="0" xfId="0" applyNumberFormat="1" applyFont="1" applyFill="1" applyBorder="1" applyAlignment="1">
      <alignment horizontal="left"/>
    </xf>
    <xf numFmtId="3" fontId="25" fillId="0" borderId="2" xfId="0" applyNumberFormat="1" applyFont="1" applyFill="1" applyBorder="1" applyAlignment="1">
      <alignment horizontal="left"/>
    </xf>
    <xf numFmtId="171" fontId="25" fillId="0" borderId="2" xfId="0" applyNumberFormat="1" applyFont="1" applyFill="1" applyBorder="1" applyAlignment="1">
      <alignment horizontal="center"/>
    </xf>
    <xf numFmtId="3" fontId="25" fillId="0" borderId="0" xfId="0" applyNumberFormat="1" applyFont="1" applyFill="1" applyBorder="1" applyAlignment="1">
      <alignment horizontal="left"/>
    </xf>
    <xf numFmtId="171" fontId="25" fillId="0" borderId="0" xfId="0" applyNumberFormat="1" applyFont="1" applyFill="1" applyBorder="1" applyAlignment="1">
      <alignment horizontal="center"/>
    </xf>
    <xf numFmtId="165" fontId="25" fillId="0" borderId="0" xfId="0" applyNumberFormat="1" applyFont="1" applyFill="1" applyBorder="1" applyAlignment="1">
      <alignment horizontal="left"/>
    </xf>
    <xf numFmtId="0" fontId="4" fillId="0" borderId="0" xfId="0" applyFont="1" applyFill="1"/>
    <xf numFmtId="172" fontId="25" fillId="0" borderId="2" xfId="0" applyNumberFormat="1" applyFont="1" applyFill="1" applyBorder="1" applyAlignment="1">
      <alignment horizontal="center"/>
    </xf>
    <xf numFmtId="0" fontId="23" fillId="0" borderId="0" xfId="0" applyFont="1" applyFill="1" applyBorder="1" applyAlignment="1">
      <alignment horizontal="center"/>
    </xf>
    <xf numFmtId="165" fontId="28" fillId="0" borderId="2" xfId="0" applyNumberFormat="1" applyFont="1" applyFill="1" applyBorder="1" applyAlignment="1">
      <alignment horizontal="left"/>
    </xf>
    <xf numFmtId="44" fontId="34" fillId="0" borderId="0" xfId="2" applyFont="1" applyFill="1" applyBorder="1" applyAlignment="1">
      <alignment horizontal="center"/>
    </xf>
    <xf numFmtId="167" fontId="27" fillId="0" borderId="0" xfId="2" applyNumberFormat="1" applyFont="1" applyFill="1" applyBorder="1" applyAlignment="1">
      <alignment horizontal="right" indent="2"/>
    </xf>
    <xf numFmtId="0" fontId="29" fillId="6" borderId="2" xfId="0" applyFont="1" applyFill="1" applyBorder="1" applyAlignment="1">
      <alignment horizontal="center" vertical="center"/>
    </xf>
    <xf numFmtId="0" fontId="29" fillId="6" borderId="18" xfId="0" applyFont="1" applyFill="1" applyBorder="1" applyAlignment="1">
      <alignment horizontal="center" vertical="center"/>
    </xf>
    <xf numFmtId="0" fontId="29" fillId="0" borderId="0" xfId="0" applyFont="1" applyFill="1" applyBorder="1" applyAlignment="1">
      <alignment horizontal="center" vertical="center"/>
    </xf>
    <xf numFmtId="0" fontId="29" fillId="6" borderId="20" xfId="0" applyFont="1" applyFill="1" applyBorder="1" applyAlignment="1">
      <alignment horizontal="center" vertical="center"/>
    </xf>
    <xf numFmtId="166" fontId="29" fillId="0" borderId="8" xfId="2" applyNumberFormat="1" applyFont="1" applyFill="1" applyBorder="1" applyAlignment="1">
      <alignment horizontal="center"/>
    </xf>
    <xf numFmtId="44" fontId="29" fillId="0" borderId="20" xfId="2" applyNumberFormat="1" applyFont="1" applyFill="1" applyBorder="1" applyAlignment="1">
      <alignment horizontal="center"/>
    </xf>
    <xf numFmtId="166" fontId="30" fillId="0" borderId="8" xfId="0" applyNumberFormat="1" applyFont="1" applyFill="1" applyBorder="1"/>
    <xf numFmtId="0" fontId="30" fillId="0" borderId="20" xfId="0" applyFont="1" applyFill="1" applyBorder="1"/>
    <xf numFmtId="0" fontId="29" fillId="6" borderId="0" xfId="0" applyFont="1" applyFill="1" applyBorder="1" applyAlignment="1">
      <alignment horizontal="center" vertical="center"/>
    </xf>
    <xf numFmtId="0" fontId="29" fillId="6" borderId="22" xfId="0" applyFont="1" applyFill="1" applyBorder="1" applyAlignment="1">
      <alignment horizontal="center" vertical="center"/>
    </xf>
    <xf numFmtId="165" fontId="25" fillId="6" borderId="0" xfId="0" applyNumberFormat="1" applyFont="1" applyFill="1" applyBorder="1" applyAlignment="1">
      <alignment horizontal="center"/>
    </xf>
    <xf numFmtId="4" fontId="25" fillId="6" borderId="0" xfId="0" applyNumberFormat="1" applyFont="1" applyFill="1" applyBorder="1" applyAlignment="1">
      <alignment horizontal="center"/>
    </xf>
    <xf numFmtId="166" fontId="25" fillId="6" borderId="8" xfId="2" applyNumberFormat="1" applyFont="1" applyFill="1" applyBorder="1" applyAlignment="1">
      <alignment horizontal="center"/>
    </xf>
    <xf numFmtId="44" fontId="25" fillId="6" borderId="20" xfId="2" applyFont="1" applyFill="1" applyBorder="1" applyAlignment="1">
      <alignment horizontal="center"/>
    </xf>
    <xf numFmtId="4" fontId="29" fillId="0" borderId="0" xfId="0" applyNumberFormat="1" applyFont="1" applyFill="1" applyBorder="1" applyAlignment="1">
      <alignment horizontal="center"/>
    </xf>
    <xf numFmtId="4" fontId="16" fillId="0" borderId="0" xfId="0" applyNumberFormat="1" applyFont="1" applyFill="1" applyAlignment="1">
      <alignment horizontal="center"/>
    </xf>
    <xf numFmtId="2" fontId="25" fillId="0" borderId="2" xfId="0" applyNumberFormat="1" applyFont="1" applyFill="1" applyBorder="1" applyAlignment="1">
      <alignment horizontal="left"/>
    </xf>
    <xf numFmtId="167" fontId="29" fillId="0" borderId="1" xfId="2" applyNumberFormat="1" applyFont="1" applyFill="1" applyBorder="1" applyAlignment="1">
      <alignment horizontal="right" indent="2"/>
    </xf>
    <xf numFmtId="3" fontId="4" fillId="0" borderId="0" xfId="0" applyNumberFormat="1" applyFont="1" applyBorder="1" applyAlignment="1">
      <alignment horizontal="center"/>
    </xf>
    <xf numFmtId="10" fontId="25" fillId="0" borderId="2" xfId="4" applyNumberFormat="1" applyFont="1" applyFill="1" applyBorder="1" applyAlignment="1">
      <alignment horizontal="center"/>
    </xf>
    <xf numFmtId="10" fontId="4" fillId="0" borderId="0" xfId="4" applyNumberFormat="1" applyFont="1" applyFill="1" applyBorder="1" applyAlignment="1">
      <alignment horizontal="center"/>
    </xf>
    <xf numFmtId="166" fontId="0" fillId="0" borderId="0" xfId="0" applyNumberFormat="1"/>
    <xf numFmtId="166" fontId="32" fillId="4" borderId="17" xfId="0" applyNumberFormat="1" applyFont="1" applyFill="1" applyBorder="1" applyAlignment="1">
      <alignment horizontal="center"/>
    </xf>
    <xf numFmtId="166" fontId="25" fillId="0" borderId="19" xfId="2" applyNumberFormat="1" applyFont="1" applyFill="1" applyBorder="1" applyAlignment="1">
      <alignment horizontal="center"/>
    </xf>
    <xf numFmtId="166" fontId="25" fillId="0" borderId="20" xfId="2" applyNumberFormat="1" applyFont="1" applyFill="1" applyBorder="1" applyAlignment="1">
      <alignment horizontal="center"/>
    </xf>
    <xf numFmtId="166" fontId="26" fillId="0" borderId="21" xfId="2" applyNumberFormat="1" applyFont="1" applyFill="1" applyBorder="1" applyAlignment="1">
      <alignment horizontal="center"/>
    </xf>
    <xf numFmtId="166" fontId="16" fillId="0" borderId="0" xfId="0" applyNumberFormat="1" applyFont="1" applyBorder="1"/>
    <xf numFmtId="166" fontId="16" fillId="0" borderId="0" xfId="0" applyNumberFormat="1" applyFont="1" applyFill="1" applyBorder="1"/>
    <xf numFmtId="166" fontId="4" fillId="0" borderId="0" xfId="0" applyNumberFormat="1" applyFont="1" applyBorder="1"/>
    <xf numFmtId="166" fontId="27" fillId="0" borderId="0" xfId="2" applyNumberFormat="1" applyFont="1" applyFill="1" applyBorder="1" applyAlignment="1">
      <alignment horizontal="center"/>
    </xf>
    <xf numFmtId="166" fontId="29" fillId="6" borderId="20" xfId="0" applyNumberFormat="1" applyFont="1" applyFill="1" applyBorder="1" applyAlignment="1">
      <alignment horizontal="center" vertical="center"/>
    </xf>
    <xf numFmtId="166" fontId="29" fillId="0" borderId="20" xfId="2" applyNumberFormat="1" applyFont="1" applyFill="1" applyBorder="1" applyAlignment="1">
      <alignment horizontal="center"/>
    </xf>
    <xf numFmtId="166" fontId="30" fillId="0" borderId="20" xfId="0" applyNumberFormat="1" applyFont="1" applyFill="1" applyBorder="1"/>
    <xf numFmtId="166" fontId="25" fillId="6" borderId="20" xfId="2" applyNumberFormat="1" applyFont="1" applyFill="1" applyBorder="1" applyAlignment="1">
      <alignment horizontal="center"/>
    </xf>
    <xf numFmtId="0" fontId="0" fillId="2" borderId="0" xfId="0" applyFill="1"/>
    <xf numFmtId="0" fontId="0" fillId="9" borderId="0" xfId="0" applyFill="1"/>
    <xf numFmtId="0" fontId="0" fillId="10" borderId="0" xfId="0" applyFill="1"/>
    <xf numFmtId="0" fontId="0" fillId="11" borderId="0" xfId="0" applyFill="1"/>
    <xf numFmtId="0" fontId="0" fillId="12" borderId="0" xfId="0" applyFill="1"/>
    <xf numFmtId="0" fontId="0" fillId="7" borderId="0" xfId="0" applyFill="1"/>
    <xf numFmtId="0" fontId="0" fillId="13" borderId="0" xfId="0" applyFill="1"/>
    <xf numFmtId="166" fontId="0" fillId="13" borderId="0" xfId="0" applyNumberFormat="1" applyFill="1"/>
    <xf numFmtId="0" fontId="0" fillId="14" borderId="0" xfId="0" applyFill="1"/>
    <xf numFmtId="0" fontId="0" fillId="15" borderId="0" xfId="0" applyFill="1"/>
    <xf numFmtId="0" fontId="0" fillId="16" borderId="0" xfId="0" applyFill="1"/>
    <xf numFmtId="0" fontId="36" fillId="8" borderId="23" xfId="0" applyFont="1" applyFill="1" applyBorder="1"/>
    <xf numFmtId="0" fontId="36" fillId="8" borderId="24" xfId="0" applyFont="1" applyFill="1" applyBorder="1"/>
    <xf numFmtId="0" fontId="37" fillId="8" borderId="25" xfId="0" applyFont="1" applyFill="1" applyBorder="1"/>
    <xf numFmtId="0" fontId="37" fillId="8" borderId="26" xfId="0" applyFont="1" applyFill="1" applyBorder="1"/>
    <xf numFmtId="0" fontId="37" fillId="8" borderId="27" xfId="0" applyFont="1" applyFill="1" applyBorder="1"/>
    <xf numFmtId="0" fontId="37" fillId="8" borderId="28" xfId="0" applyFont="1" applyFill="1" applyBorder="1"/>
    <xf numFmtId="0" fontId="37" fillId="8" borderId="0" xfId="0" applyFont="1" applyFill="1" applyBorder="1"/>
    <xf numFmtId="0" fontId="37" fillId="8" borderId="29" xfId="0" applyFont="1" applyFill="1" applyBorder="1"/>
    <xf numFmtId="0" fontId="37" fillId="8" borderId="30" xfId="0" applyFont="1" applyFill="1" applyBorder="1"/>
    <xf numFmtId="0" fontId="37" fillId="8" borderId="31" xfId="0" applyFont="1" applyFill="1" applyBorder="1"/>
    <xf numFmtId="0" fontId="37" fillId="8" borderId="32" xfId="0" applyFont="1" applyFill="1" applyBorder="1"/>
    <xf numFmtId="0" fontId="36" fillId="8" borderId="25" xfId="0" applyFont="1" applyFill="1" applyBorder="1"/>
    <xf numFmtId="0" fontId="0" fillId="8" borderId="26" xfId="0" applyFill="1" applyBorder="1"/>
    <xf numFmtId="0" fontId="0" fillId="8" borderId="28" xfId="0" applyFill="1" applyBorder="1"/>
    <xf numFmtId="0" fontId="0" fillId="8" borderId="0" xfId="0" applyFill="1" applyBorder="1"/>
    <xf numFmtId="0" fontId="0" fillId="8" borderId="29" xfId="0" applyFill="1" applyBorder="1"/>
    <xf numFmtId="0" fontId="0" fillId="8" borderId="30" xfId="0" applyFill="1" applyBorder="1"/>
    <xf numFmtId="0" fontId="0" fillId="8" borderId="31" xfId="0" applyFill="1" applyBorder="1"/>
    <xf numFmtId="0" fontId="0" fillId="8" borderId="32" xfId="0" applyFill="1" applyBorder="1"/>
    <xf numFmtId="0" fontId="36" fillId="8" borderId="27" xfId="0" applyFont="1" applyFill="1" applyBorder="1" applyAlignment="1">
      <alignment horizontal="center"/>
    </xf>
    <xf numFmtId="0" fontId="4" fillId="0" borderId="33" xfId="0" applyFont="1" applyBorder="1"/>
    <xf numFmtId="0" fontId="4" fillId="0" borderId="34" xfId="0" applyFont="1" applyBorder="1"/>
    <xf numFmtId="0" fontId="0" fillId="0" borderId="34" xfId="0" applyBorder="1"/>
    <xf numFmtId="0" fontId="32" fillId="4" borderId="35" xfId="0" applyFont="1" applyFill="1" applyBorder="1" applyAlignment="1">
      <alignment horizontal="center"/>
    </xf>
    <xf numFmtId="44" fontId="25" fillId="0" borderId="36" xfId="2" applyNumberFormat="1" applyFont="1" applyFill="1" applyBorder="1" applyAlignment="1">
      <alignment horizontal="center"/>
    </xf>
    <xf numFmtId="44" fontId="25" fillId="0" borderId="34" xfId="2" applyNumberFormat="1" applyFont="1" applyFill="1" applyBorder="1" applyAlignment="1">
      <alignment horizontal="center"/>
    </xf>
    <xf numFmtId="44" fontId="26" fillId="0" borderId="37" xfId="2" applyNumberFormat="1" applyFont="1" applyFill="1" applyBorder="1" applyAlignment="1">
      <alignment horizontal="center"/>
    </xf>
    <xf numFmtId="0" fontId="16" fillId="0" borderId="34" xfId="0" applyFont="1" applyBorder="1"/>
    <xf numFmtId="44" fontId="25" fillId="0" borderId="36" xfId="2" applyFont="1" applyFill="1" applyBorder="1" applyAlignment="1">
      <alignment horizontal="center"/>
    </xf>
    <xf numFmtId="0" fontId="16" fillId="0" borderId="34" xfId="0" applyFont="1" applyFill="1" applyBorder="1"/>
    <xf numFmtId="44" fontId="34" fillId="0" borderId="34" xfId="2" applyNumberFormat="1" applyFont="1" applyFill="1" applyBorder="1" applyAlignment="1">
      <alignment horizontal="center"/>
    </xf>
    <xf numFmtId="44" fontId="25" fillId="0" borderId="34" xfId="2" applyFont="1" applyFill="1" applyBorder="1" applyAlignment="1">
      <alignment horizontal="center"/>
    </xf>
    <xf numFmtId="2" fontId="27" fillId="0" borderId="34" xfId="2" applyNumberFormat="1" applyFont="1" applyFill="1" applyBorder="1" applyAlignment="1">
      <alignment horizontal="center"/>
    </xf>
    <xf numFmtId="44" fontId="34" fillId="0" borderId="34" xfId="2" applyFont="1" applyFill="1" applyBorder="1" applyAlignment="1">
      <alignment horizontal="center"/>
    </xf>
    <xf numFmtId="0" fontId="29" fillId="6" borderId="34" xfId="0" applyFont="1" applyFill="1" applyBorder="1" applyAlignment="1">
      <alignment horizontal="center" vertical="center"/>
    </xf>
    <xf numFmtId="44" fontId="29" fillId="0" borderId="34" xfId="2" applyNumberFormat="1" applyFont="1" applyFill="1" applyBorder="1" applyAlignment="1">
      <alignment horizontal="center"/>
    </xf>
    <xf numFmtId="0" fontId="30" fillId="0" borderId="34" xfId="0" applyFont="1" applyFill="1" applyBorder="1"/>
    <xf numFmtId="44" fontId="25" fillId="6" borderId="34" xfId="2" applyFont="1" applyFill="1" applyBorder="1" applyAlignment="1">
      <alignment horizontal="center"/>
    </xf>
    <xf numFmtId="0" fontId="38" fillId="0" borderId="0" xfId="0" applyFont="1" applyAlignment="1">
      <alignment horizontal="center"/>
    </xf>
    <xf numFmtId="0" fontId="38" fillId="0" borderId="0" xfId="0" applyFont="1" applyFill="1" applyAlignment="1">
      <alignment horizontal="center"/>
    </xf>
    <xf numFmtId="0" fontId="36" fillId="0" borderId="34" xfId="0" applyFont="1" applyBorder="1" applyAlignment="1">
      <alignment horizontal="center"/>
    </xf>
    <xf numFmtId="0" fontId="0" fillId="0" borderId="0" xfId="0" applyAlignment="1">
      <alignment wrapText="1"/>
    </xf>
    <xf numFmtId="9" fontId="26" fillId="0" borderId="21" xfId="3" applyFont="1" applyFill="1" applyBorder="1" applyAlignment="1">
      <alignment horizontal="center"/>
    </xf>
    <xf numFmtId="0" fontId="15" fillId="5" borderId="0" xfId="0" applyFont="1" applyFill="1"/>
    <xf numFmtId="0" fontId="40" fillId="5" borderId="0" xfId="0" applyFont="1" applyFill="1"/>
    <xf numFmtId="0" fontId="6" fillId="5" borderId="0" xfId="0" applyFont="1" applyFill="1"/>
    <xf numFmtId="0" fontId="0" fillId="5" borderId="0" xfId="0" applyFill="1"/>
    <xf numFmtId="0" fontId="6" fillId="5" borderId="0" xfId="0" applyFont="1" applyFill="1" applyAlignment="1"/>
    <xf numFmtId="0" fontId="41" fillId="5" borderId="0" xfId="0" applyNumberFormat="1" applyFont="1" applyFill="1"/>
    <xf numFmtId="0" fontId="9" fillId="5" borderId="0" xfId="0" applyFont="1" applyFill="1"/>
    <xf numFmtId="0" fontId="41" fillId="5" borderId="0" xfId="0" applyFont="1" applyFill="1" applyAlignment="1">
      <alignment horizontal="justify"/>
    </xf>
    <xf numFmtId="0" fontId="9" fillId="5" borderId="0" xfId="0" applyFont="1" applyFill="1" applyAlignment="1">
      <alignment horizontal="justify"/>
    </xf>
    <xf numFmtId="0" fontId="18" fillId="5" borderId="0" xfId="0" applyFont="1" applyFill="1" applyAlignment="1">
      <alignment horizontal="justify" vertical="center"/>
    </xf>
    <xf numFmtId="0" fontId="15" fillId="5" borderId="0" xfId="0" applyFont="1" applyFill="1" applyAlignment="1">
      <alignment wrapText="1"/>
    </xf>
    <xf numFmtId="0" fontId="6" fillId="5" borderId="0" xfId="0" applyFont="1" applyFill="1" applyAlignment="1">
      <alignment horizontal="justify"/>
    </xf>
    <xf numFmtId="0" fontId="15" fillId="5" borderId="0" xfId="0" applyFont="1" applyFill="1" applyAlignment="1">
      <alignment horizontal="justify"/>
    </xf>
    <xf numFmtId="0" fontId="9" fillId="3" borderId="0" xfId="0" applyFont="1" applyFill="1" applyProtection="1"/>
    <xf numFmtId="166" fontId="48" fillId="3" borderId="0" xfId="2" applyNumberFormat="1" applyFont="1" applyFill="1" applyAlignment="1" applyProtection="1">
      <alignment vertical="center"/>
    </xf>
    <xf numFmtId="166" fontId="48" fillId="3" borderId="0" xfId="0" applyNumberFormat="1" applyFont="1" applyFill="1" applyProtection="1"/>
    <xf numFmtId="44" fontId="48" fillId="3" borderId="0" xfId="2" applyNumberFormat="1" applyFont="1" applyFill="1" applyAlignment="1" applyProtection="1">
      <alignment vertical="center"/>
    </xf>
    <xf numFmtId="9" fontId="25" fillId="0" borderId="20" xfId="3" applyFont="1" applyFill="1" applyBorder="1" applyAlignment="1">
      <alignment horizontal="center"/>
    </xf>
    <xf numFmtId="9" fontId="29" fillId="0" borderId="20" xfId="3" applyFont="1" applyFill="1" applyBorder="1" applyAlignment="1">
      <alignment horizontal="center"/>
    </xf>
    <xf numFmtId="44" fontId="48" fillId="3" borderId="0" xfId="2" applyNumberFormat="1" applyFont="1" applyFill="1" applyAlignment="1" applyProtection="1">
      <alignment horizontal="center" vertical="center"/>
    </xf>
    <xf numFmtId="0" fontId="4" fillId="5" borderId="0" xfId="0" applyFont="1" applyFill="1" applyProtection="1"/>
    <xf numFmtId="0" fontId="5" fillId="5" borderId="0" xfId="0" applyFont="1" applyFill="1" applyAlignment="1" applyProtection="1">
      <alignment horizontal="left" vertical="top" indent="4"/>
    </xf>
    <xf numFmtId="0" fontId="5" fillId="5" borderId="0" xfId="0" applyFont="1" applyFill="1" applyAlignment="1" applyProtection="1">
      <alignment horizontal="left" vertical="top"/>
    </xf>
    <xf numFmtId="0" fontId="5" fillId="5" borderId="0" xfId="0" applyFont="1" applyFill="1" applyProtection="1"/>
    <xf numFmtId="0" fontId="6" fillId="5" borderId="0" xfId="0" applyFont="1" applyFill="1" applyProtection="1"/>
    <xf numFmtId="0" fontId="4" fillId="5" borderId="0" xfId="0" applyFont="1" applyFill="1" applyBorder="1" applyProtection="1"/>
    <xf numFmtId="0" fontId="7" fillId="5" borderId="1" xfId="0" applyFont="1" applyFill="1" applyBorder="1" applyAlignment="1" applyProtection="1">
      <alignment horizontal="left" wrapText="1"/>
    </xf>
    <xf numFmtId="0" fontId="6" fillId="5" borderId="0" xfId="0" applyFont="1" applyFill="1" applyBorder="1" applyProtection="1"/>
    <xf numFmtId="0" fontId="6" fillId="5" borderId="0" xfId="0" applyFont="1" applyFill="1" applyBorder="1" applyAlignment="1" applyProtection="1">
      <alignment horizontal="center"/>
    </xf>
    <xf numFmtId="0" fontId="6" fillId="5" borderId="0" xfId="0" applyFont="1" applyFill="1" applyBorder="1" applyAlignment="1" applyProtection="1">
      <alignment horizontal="right"/>
    </xf>
    <xf numFmtId="0" fontId="6" fillId="5" borderId="1" xfId="0" applyFont="1" applyFill="1" applyBorder="1" applyProtection="1"/>
    <xf numFmtId="0" fontId="9" fillId="5" borderId="2" xfId="0" applyFont="1" applyFill="1" applyBorder="1" applyProtection="1"/>
    <xf numFmtId="0" fontId="9" fillId="5" borderId="2" xfId="0" applyFont="1" applyFill="1" applyBorder="1" applyAlignment="1" applyProtection="1"/>
    <xf numFmtId="0" fontId="6" fillId="5" borderId="0" xfId="0" applyFont="1" applyFill="1" applyBorder="1" applyAlignment="1" applyProtection="1"/>
    <xf numFmtId="0" fontId="10" fillId="5" borderId="0" xfId="0" applyFont="1" applyFill="1" applyBorder="1" applyAlignment="1" applyProtection="1">
      <alignment horizontal="left"/>
    </xf>
    <xf numFmtId="0" fontId="9" fillId="5" borderId="6" xfId="0" applyFont="1" applyFill="1" applyBorder="1" applyAlignment="1" applyProtection="1"/>
    <xf numFmtId="0" fontId="9" fillId="5" borderId="6" xfId="0" applyFont="1" applyFill="1" applyBorder="1" applyAlignment="1" applyProtection="1">
      <alignment horizontal="center"/>
    </xf>
    <xf numFmtId="0" fontId="9" fillId="5" borderId="6" xfId="0" applyFont="1" applyFill="1" applyBorder="1" applyAlignment="1" applyProtection="1">
      <alignment horizontal="center" wrapText="1"/>
    </xf>
    <xf numFmtId="0" fontId="9" fillId="5" borderId="0" xfId="0" applyFont="1" applyFill="1" applyBorder="1" applyAlignment="1" applyProtection="1">
      <alignment horizontal="center" vertical="center" wrapText="1"/>
    </xf>
    <xf numFmtId="165" fontId="6" fillId="5" borderId="0" xfId="0" applyNumberFormat="1" applyFont="1" applyFill="1" applyBorder="1" applyAlignment="1" applyProtection="1">
      <alignment horizontal="center"/>
    </xf>
    <xf numFmtId="0" fontId="6" fillId="5" borderId="0" xfId="0" applyFont="1" applyFill="1" applyAlignment="1" applyProtection="1">
      <alignment horizontal="center"/>
    </xf>
    <xf numFmtId="44" fontId="6" fillId="5" borderId="0" xfId="2" applyFont="1" applyFill="1" applyAlignment="1" applyProtection="1">
      <alignment horizontal="center" vertical="center"/>
    </xf>
    <xf numFmtId="44" fontId="6" fillId="5" borderId="0" xfId="2" applyFont="1" applyFill="1" applyAlignment="1" applyProtection="1">
      <alignment horizontal="center" vertical="center" wrapText="1"/>
    </xf>
    <xf numFmtId="0" fontId="4" fillId="5" borderId="0" xfId="0" applyFont="1" applyFill="1" applyAlignment="1" applyProtection="1">
      <alignment horizontal="center" vertical="center" wrapText="1"/>
    </xf>
    <xf numFmtId="3" fontId="6" fillId="5" borderId="0" xfId="0" applyNumberFormat="1" applyFont="1" applyFill="1" applyBorder="1" applyAlignment="1" applyProtection="1">
      <alignment horizontal="center"/>
    </xf>
    <xf numFmtId="0" fontId="6" fillId="5" borderId="1" xfId="0" applyFont="1" applyFill="1" applyBorder="1" applyAlignment="1" applyProtection="1">
      <alignment horizontal="right"/>
    </xf>
    <xf numFmtId="0" fontId="11" fillId="5" borderId="1" xfId="0" applyFont="1" applyFill="1" applyBorder="1" applyAlignment="1" applyProtection="1">
      <alignment horizontal="center"/>
    </xf>
    <xf numFmtId="0" fontId="10" fillId="5" borderId="0" xfId="0" applyFont="1" applyFill="1" applyBorder="1" applyProtection="1"/>
    <xf numFmtId="0" fontId="9" fillId="5" borderId="0" xfId="0" applyFont="1" applyFill="1" applyBorder="1" applyProtection="1"/>
    <xf numFmtId="0" fontId="9" fillId="5" borderId="0" xfId="0" applyFont="1" applyFill="1" applyBorder="1" applyAlignment="1" applyProtection="1"/>
    <xf numFmtId="0" fontId="6" fillId="5" borderId="0" xfId="0" applyFont="1" applyFill="1" applyBorder="1" applyAlignment="1" applyProtection="1">
      <alignment horizontal="left"/>
    </xf>
    <xf numFmtId="0" fontId="9" fillId="5" borderId="7" xfId="0" applyFont="1" applyFill="1" applyBorder="1" applyAlignment="1" applyProtection="1"/>
    <xf numFmtId="0" fontId="6" fillId="5" borderId="7" xfId="0" applyFont="1" applyFill="1" applyBorder="1" applyAlignment="1" applyProtection="1"/>
    <xf numFmtId="0" fontId="6" fillId="5" borderId="7" xfId="0" applyFont="1" applyFill="1" applyBorder="1" applyAlignment="1" applyProtection="1">
      <alignment horizontal="right"/>
    </xf>
    <xf numFmtId="2" fontId="6" fillId="5" borderId="0" xfId="0" quotePrefix="1" applyNumberFormat="1" applyFont="1" applyFill="1" applyAlignment="1" applyProtection="1">
      <alignment horizontal="center"/>
    </xf>
    <xf numFmtId="2" fontId="6" fillId="5" borderId="0" xfId="0" applyNumberFormat="1" applyFont="1" applyFill="1" applyBorder="1" applyAlignment="1" applyProtection="1">
      <alignment horizontal="center"/>
    </xf>
    <xf numFmtId="0" fontId="9" fillId="5" borderId="0" xfId="0" applyFont="1" applyFill="1" applyBorder="1" applyAlignment="1" applyProtection="1">
      <alignment horizontal="right"/>
    </xf>
    <xf numFmtId="0" fontId="12" fillId="5" borderId="0" xfId="0" applyFont="1" applyFill="1" applyBorder="1" applyAlignment="1" applyProtection="1">
      <alignment horizontal="right"/>
    </xf>
    <xf numFmtId="165" fontId="12" fillId="5" borderId="0" xfId="0" applyNumberFormat="1" applyFont="1" applyFill="1" applyBorder="1" applyAlignment="1" applyProtection="1">
      <alignment horizontal="center"/>
    </xf>
    <xf numFmtId="0" fontId="6" fillId="5" borderId="1" xfId="0" applyFont="1" applyFill="1" applyBorder="1" applyAlignment="1" applyProtection="1">
      <alignment horizontal="center"/>
    </xf>
    <xf numFmtId="44" fontId="6" fillId="5" borderId="0" xfId="2" applyFont="1" applyFill="1" applyAlignment="1" applyProtection="1">
      <alignment horizontal="center"/>
    </xf>
    <xf numFmtId="44" fontId="6" fillId="5" borderId="0" xfId="2" applyFont="1" applyFill="1" applyAlignment="1" applyProtection="1">
      <alignment horizontal="center" wrapText="1"/>
    </xf>
    <xf numFmtId="0" fontId="10" fillId="5" borderId="7" xfId="0" applyFont="1" applyFill="1" applyBorder="1" applyProtection="1"/>
    <xf numFmtId="0" fontId="9" fillId="5" borderId="7" xfId="0" applyFont="1" applyFill="1" applyBorder="1" applyProtection="1"/>
    <xf numFmtId="166" fontId="13" fillId="5" borderId="0" xfId="0" applyNumberFormat="1" applyFont="1" applyFill="1" applyBorder="1" applyProtection="1"/>
    <xf numFmtId="166" fontId="6" fillId="5" borderId="0" xfId="2" applyNumberFormat="1" applyFont="1" applyFill="1" applyBorder="1" applyProtection="1"/>
    <xf numFmtId="166" fontId="6" fillId="5" borderId="0" xfId="0" applyNumberFormat="1" applyFont="1" applyFill="1" applyBorder="1" applyProtection="1"/>
    <xf numFmtId="166" fontId="6" fillId="5" borderId="1" xfId="0" applyNumberFormat="1" applyFont="1" applyFill="1" applyBorder="1" applyAlignment="1" applyProtection="1">
      <alignment horizontal="right"/>
    </xf>
    <xf numFmtId="166" fontId="6" fillId="5" borderId="1" xfId="0" applyNumberFormat="1" applyFont="1" applyFill="1" applyBorder="1" applyAlignment="1" applyProtection="1">
      <alignment horizontal="center"/>
    </xf>
    <xf numFmtId="166" fontId="10" fillId="5" borderId="0" xfId="2" applyNumberFormat="1" applyFont="1" applyFill="1" applyBorder="1" applyAlignment="1" applyProtection="1">
      <alignment horizontal="left"/>
    </xf>
    <xf numFmtId="166" fontId="14" fillId="5" borderId="0" xfId="0" applyNumberFormat="1" applyFont="1" applyFill="1" applyBorder="1" applyProtection="1"/>
    <xf numFmtId="166" fontId="6" fillId="5" borderId="0" xfId="0" applyNumberFormat="1" applyFont="1" applyFill="1" applyBorder="1" applyAlignment="1" applyProtection="1">
      <alignment horizontal="left"/>
    </xf>
    <xf numFmtId="166" fontId="6" fillId="5" borderId="0" xfId="2" applyNumberFormat="1" applyFont="1" applyFill="1" applyBorder="1" applyAlignment="1" applyProtection="1">
      <alignment horizontal="left"/>
    </xf>
    <xf numFmtId="0" fontId="6" fillId="5" borderId="7" xfId="0" applyFont="1" applyFill="1" applyBorder="1" applyProtection="1"/>
    <xf numFmtId="166" fontId="6" fillId="5" borderId="7" xfId="0" applyNumberFormat="1" applyFont="1" applyFill="1" applyBorder="1" applyProtection="1"/>
    <xf numFmtId="166" fontId="9" fillId="5" borderId="7" xfId="0" applyNumberFormat="1" applyFont="1" applyFill="1" applyBorder="1" applyAlignment="1" applyProtection="1">
      <alignment horizontal="left"/>
    </xf>
    <xf numFmtId="0" fontId="9" fillId="5" borderId="7" xfId="0" applyFont="1" applyFill="1" applyBorder="1" applyAlignment="1" applyProtection="1">
      <alignment horizontal="left"/>
    </xf>
    <xf numFmtId="166" fontId="6" fillId="5" borderId="0" xfId="0" applyNumberFormat="1" applyFont="1" applyFill="1" applyProtection="1"/>
    <xf numFmtId="166" fontId="6" fillId="5" borderId="0" xfId="2" applyNumberFormat="1" applyFont="1" applyFill="1" applyAlignment="1" applyProtection="1">
      <alignment horizontal="center" vertical="center"/>
    </xf>
    <xf numFmtId="166" fontId="6" fillId="5" borderId="1" xfId="0" applyNumberFormat="1" applyFont="1" applyFill="1" applyBorder="1" applyAlignment="1" applyProtection="1">
      <alignment horizontal="left"/>
    </xf>
    <xf numFmtId="0" fontId="6" fillId="5" borderId="1" xfId="0" applyFont="1" applyFill="1" applyBorder="1" applyAlignment="1" applyProtection="1">
      <alignment horizontal="left"/>
    </xf>
    <xf numFmtId="9" fontId="6" fillId="5" borderId="0" xfId="3" applyFont="1" applyFill="1" applyBorder="1" applyAlignment="1" applyProtection="1">
      <alignment horizontal="right"/>
    </xf>
    <xf numFmtId="9" fontId="6" fillId="5" borderId="0" xfId="3" applyFont="1" applyFill="1" applyBorder="1" applyAlignment="1" applyProtection="1">
      <alignment horizontal="center"/>
    </xf>
    <xf numFmtId="166" fontId="6" fillId="5" borderId="0" xfId="3" applyNumberFormat="1" applyFont="1" applyFill="1" applyBorder="1" applyAlignment="1" applyProtection="1">
      <alignment horizontal="center"/>
    </xf>
    <xf numFmtId="0" fontId="15" fillId="5" borderId="0" xfId="0" applyFont="1" applyFill="1" applyProtection="1"/>
    <xf numFmtId="0" fontId="10" fillId="5" borderId="6" xfId="0" applyFont="1" applyFill="1" applyBorder="1" applyAlignment="1" applyProtection="1"/>
    <xf numFmtId="0" fontId="10" fillId="5" borderId="6" xfId="0" applyFont="1" applyFill="1" applyBorder="1" applyProtection="1"/>
    <xf numFmtId="0" fontId="10" fillId="5" borderId="6" xfId="0" applyFont="1" applyFill="1" applyBorder="1" applyAlignment="1" applyProtection="1">
      <alignment horizontal="center" vertical="center"/>
    </xf>
    <xf numFmtId="0" fontId="10" fillId="5" borderId="6" xfId="0" applyFont="1" applyFill="1" applyBorder="1" applyAlignment="1" applyProtection="1">
      <alignment horizontal="center" vertical="center" wrapText="1"/>
    </xf>
    <xf numFmtId="0" fontId="16" fillId="5" borderId="0" xfId="0" applyFont="1" applyFill="1" applyAlignment="1" applyProtection="1">
      <alignment horizontal="center" vertical="center" wrapText="1"/>
    </xf>
    <xf numFmtId="1" fontId="6" fillId="5" borderId="0" xfId="0" quotePrefix="1" applyNumberFormat="1" applyFont="1" applyFill="1" applyAlignment="1" applyProtection="1">
      <alignment horizontal="center"/>
    </xf>
    <xf numFmtId="0" fontId="6" fillId="5" borderId="8" xfId="0" applyFont="1" applyFill="1" applyBorder="1" applyProtection="1"/>
    <xf numFmtId="44" fontId="6" fillId="5" borderId="0" xfId="2" applyNumberFormat="1" applyFont="1" applyFill="1" applyAlignment="1" applyProtection="1">
      <alignment horizontal="center" vertical="center"/>
    </xf>
    <xf numFmtId="44" fontId="6" fillId="5" borderId="0" xfId="0" applyNumberFormat="1" applyFont="1" applyFill="1" applyProtection="1"/>
    <xf numFmtId="44" fontId="6" fillId="5" borderId="0" xfId="2" applyNumberFormat="1" applyFont="1" applyFill="1" applyAlignment="1" applyProtection="1">
      <alignment horizontal="center" vertical="center" wrapText="1"/>
    </xf>
    <xf numFmtId="0" fontId="6" fillId="5" borderId="9" xfId="0" applyFont="1" applyFill="1" applyBorder="1" applyAlignment="1" applyProtection="1">
      <alignment horizontal="right"/>
    </xf>
    <xf numFmtId="166" fontId="6" fillId="5" borderId="1" xfId="0" applyNumberFormat="1" applyFont="1" applyFill="1" applyBorder="1" applyProtection="1"/>
    <xf numFmtId="166" fontId="6" fillId="5" borderId="1" xfId="0" applyNumberFormat="1" applyFont="1" applyFill="1" applyBorder="1" applyAlignment="1" applyProtection="1">
      <alignment horizontal="center" vertical="center"/>
    </xf>
    <xf numFmtId="0" fontId="14" fillId="5" borderId="0" xfId="0" applyFont="1" applyFill="1" applyBorder="1" applyProtection="1"/>
    <xf numFmtId="44" fontId="10" fillId="5" borderId="0" xfId="2" applyNumberFormat="1" applyFont="1" applyFill="1" applyBorder="1" applyAlignment="1" applyProtection="1">
      <alignment horizontal="center" vertical="center"/>
    </xf>
    <xf numFmtId="44" fontId="10" fillId="5" borderId="0" xfId="0" applyNumberFormat="1" applyFont="1" applyFill="1" applyBorder="1" applyAlignment="1" applyProtection="1">
      <alignment horizontal="left"/>
    </xf>
    <xf numFmtId="44" fontId="9" fillId="5" borderId="0" xfId="0" applyNumberFormat="1" applyFont="1" applyFill="1" applyBorder="1" applyAlignment="1" applyProtection="1">
      <alignment horizontal="left"/>
    </xf>
    <xf numFmtId="166" fontId="6" fillId="5" borderId="0" xfId="2" applyNumberFormat="1" applyFont="1" applyFill="1" applyAlignment="1" applyProtection="1">
      <alignment horizontal="center" vertical="center" wrapText="1"/>
    </xf>
    <xf numFmtId="0" fontId="19" fillId="5" borderId="0" xfId="0" applyFont="1" applyFill="1" applyBorder="1" applyAlignment="1" applyProtection="1">
      <alignment horizontal="center" wrapText="1"/>
    </xf>
    <xf numFmtId="0" fontId="20" fillId="5" borderId="0" xfId="0" applyFont="1" applyFill="1" applyBorder="1" applyAlignment="1" applyProtection="1">
      <alignment horizontal="left" wrapText="1"/>
    </xf>
    <xf numFmtId="166" fontId="20" fillId="5" borderId="0" xfId="0" applyNumberFormat="1" applyFont="1" applyFill="1" applyBorder="1" applyAlignment="1" applyProtection="1">
      <alignment horizontal="left" wrapText="1"/>
    </xf>
    <xf numFmtId="44" fontId="6" fillId="5" borderId="0" xfId="2" applyNumberFormat="1" applyFont="1" applyFill="1" applyBorder="1" applyProtection="1"/>
    <xf numFmtId="44" fontId="20" fillId="5" borderId="0" xfId="2" applyNumberFormat="1" applyFont="1" applyFill="1" applyBorder="1" applyAlignment="1" applyProtection="1">
      <alignment horizontal="center" vertical="center" wrapText="1"/>
    </xf>
    <xf numFmtId="166" fontId="20" fillId="5" borderId="0" xfId="2" applyNumberFormat="1" applyFont="1" applyFill="1" applyBorder="1" applyAlignment="1" applyProtection="1">
      <alignment horizontal="right" wrapText="1"/>
    </xf>
    <xf numFmtId="166" fontId="18" fillId="5" borderId="0" xfId="0" applyNumberFormat="1" applyFont="1" applyFill="1" applyBorder="1" applyAlignment="1" applyProtection="1">
      <alignment horizontal="left" wrapText="1"/>
    </xf>
    <xf numFmtId="0" fontId="20" fillId="5" borderId="0" xfId="0" applyFont="1" applyFill="1" applyBorder="1" applyAlignment="1" applyProtection="1">
      <alignment horizontal="justify" wrapText="1"/>
    </xf>
    <xf numFmtId="0" fontId="20" fillId="5" borderId="8" xfId="0" applyFont="1" applyFill="1" applyBorder="1" applyAlignment="1" applyProtection="1">
      <alignment horizontal="justify" wrapText="1"/>
    </xf>
    <xf numFmtId="0" fontId="20" fillId="5" borderId="8" xfId="0" applyFont="1" applyFill="1" applyBorder="1" applyAlignment="1" applyProtection="1">
      <alignment horizontal="left" wrapText="1"/>
    </xf>
    <xf numFmtId="166" fontId="20" fillId="5" borderId="0" xfId="0" applyNumberFormat="1" applyFont="1" applyFill="1" applyBorder="1" applyAlignment="1" applyProtection="1">
      <alignment horizontal="justify" wrapText="1"/>
    </xf>
    <xf numFmtId="44" fontId="6" fillId="5" borderId="0" xfId="2" applyNumberFormat="1" applyFont="1" applyFill="1" applyBorder="1" applyAlignment="1" applyProtection="1">
      <alignment horizontal="center" vertical="center"/>
    </xf>
    <xf numFmtId="166" fontId="6" fillId="5" borderId="0" xfId="2" applyNumberFormat="1" applyFont="1" applyFill="1" applyBorder="1" applyAlignment="1" applyProtection="1">
      <alignment horizontal="center" vertical="center" wrapText="1"/>
    </xf>
    <xf numFmtId="44" fontId="10" fillId="5" borderId="0" xfId="2" applyNumberFormat="1" applyFont="1" applyFill="1" applyBorder="1" applyAlignment="1" applyProtection="1">
      <alignment horizontal="left"/>
    </xf>
    <xf numFmtId="44" fontId="6" fillId="5" borderId="0" xfId="2" applyNumberFormat="1" applyFont="1" applyFill="1" applyProtection="1"/>
    <xf numFmtId="44" fontId="20" fillId="5" borderId="0" xfId="2" applyNumberFormat="1" applyFont="1" applyFill="1" applyBorder="1" applyAlignment="1" applyProtection="1">
      <alignment horizontal="right" wrapText="1"/>
    </xf>
    <xf numFmtId="166" fontId="21" fillId="5" borderId="0" xfId="2" applyNumberFormat="1" applyFont="1" applyFill="1" applyBorder="1" applyAlignment="1" applyProtection="1">
      <alignment horizontal="right" wrapText="1"/>
    </xf>
    <xf numFmtId="44" fontId="21" fillId="5" borderId="0" xfId="2" applyNumberFormat="1" applyFont="1" applyFill="1" applyBorder="1" applyAlignment="1" applyProtection="1">
      <alignment horizontal="center" vertical="center" wrapText="1"/>
    </xf>
    <xf numFmtId="166" fontId="6" fillId="5" borderId="0" xfId="2" applyNumberFormat="1" applyFont="1" applyFill="1" applyProtection="1"/>
    <xf numFmtId="44" fontId="6" fillId="5" borderId="1" xfId="0" applyNumberFormat="1" applyFont="1" applyFill="1" applyBorder="1" applyAlignment="1" applyProtection="1">
      <alignment horizontal="left"/>
    </xf>
    <xf numFmtId="44" fontId="6" fillId="5" borderId="1" xfId="0" applyNumberFormat="1" applyFont="1" applyFill="1" applyBorder="1" applyAlignment="1" applyProtection="1">
      <alignment horizontal="center" vertical="center"/>
    </xf>
    <xf numFmtId="0" fontId="6" fillId="5" borderId="9" xfId="0" applyFont="1" applyFill="1" applyBorder="1" applyProtection="1"/>
    <xf numFmtId="166" fontId="6" fillId="5" borderId="1" xfId="2" applyNumberFormat="1" applyFont="1" applyFill="1" applyBorder="1" applyAlignment="1" applyProtection="1">
      <alignment horizontal="center" vertical="center"/>
    </xf>
    <xf numFmtId="0" fontId="14" fillId="5" borderId="8" xfId="0" applyFont="1" applyFill="1" applyBorder="1" applyProtection="1"/>
    <xf numFmtId="0" fontId="14" fillId="5" borderId="0" xfId="0" applyFont="1" applyFill="1" applyProtection="1"/>
    <xf numFmtId="166" fontId="10" fillId="5" borderId="0" xfId="0" applyNumberFormat="1" applyFont="1" applyFill="1" applyProtection="1"/>
    <xf numFmtId="166" fontId="10" fillId="5" borderId="0" xfId="0" applyNumberFormat="1" applyFont="1" applyFill="1" applyAlignment="1" applyProtection="1">
      <alignment horizontal="center"/>
    </xf>
    <xf numFmtId="44" fontId="10" fillId="5" borderId="0" xfId="0" applyNumberFormat="1" applyFont="1" applyFill="1" applyAlignment="1" applyProtection="1">
      <alignment horizontal="center" vertical="center"/>
    </xf>
    <xf numFmtId="44" fontId="10" fillId="5" borderId="0" xfId="0" applyNumberFormat="1" applyFont="1" applyFill="1" applyProtection="1"/>
    <xf numFmtId="44" fontId="14" fillId="5" borderId="0" xfId="2" applyNumberFormat="1" applyFont="1" applyFill="1" applyProtection="1"/>
    <xf numFmtId="44" fontId="14" fillId="5" borderId="0" xfId="2" applyNumberFormat="1" applyFont="1" applyFill="1" applyAlignment="1" applyProtection="1">
      <alignment horizontal="center" vertical="center"/>
    </xf>
    <xf numFmtId="44" fontId="6" fillId="5" borderId="0" xfId="2" applyFont="1" applyFill="1" applyBorder="1" applyProtection="1"/>
    <xf numFmtId="0" fontId="18" fillId="5" borderId="0" xfId="0" applyFont="1" applyFill="1" applyBorder="1" applyProtection="1"/>
    <xf numFmtId="0" fontId="22" fillId="5" borderId="0" xfId="0" applyFont="1" applyFill="1" applyBorder="1" applyAlignment="1" applyProtection="1">
      <alignment horizontal="left" wrapText="1"/>
    </xf>
    <xf numFmtId="0" fontId="19" fillId="5" borderId="0" xfId="0" applyFont="1" applyFill="1" applyProtection="1"/>
    <xf numFmtId="0" fontId="0" fillId="0" borderId="0" xfId="0" applyAlignment="1">
      <alignment horizontal="right"/>
    </xf>
    <xf numFmtId="0" fontId="25" fillId="0" borderId="34" xfId="2" applyNumberFormat="1" applyFont="1" applyFill="1" applyBorder="1" applyAlignment="1">
      <alignment horizontal="right"/>
    </xf>
    <xf numFmtId="2" fontId="25" fillId="0" borderId="34" xfId="2" applyNumberFormat="1" applyFont="1" applyFill="1" applyBorder="1" applyAlignment="1">
      <alignment horizontal="right"/>
    </xf>
    <xf numFmtId="9" fontId="0" fillId="0" borderId="0" xfId="3" applyFont="1"/>
    <xf numFmtId="2" fontId="0" fillId="0" borderId="0" xfId="0" applyNumberFormat="1"/>
    <xf numFmtId="165" fontId="0" fillId="0" borderId="0" xfId="0" applyNumberFormat="1"/>
    <xf numFmtId="165" fontId="6" fillId="5" borderId="0" xfId="2" applyNumberFormat="1" applyFont="1" applyFill="1" applyAlignment="1" applyProtection="1">
      <alignment horizontal="center" vertical="center"/>
    </xf>
    <xf numFmtId="0" fontId="6" fillId="5" borderId="7" xfId="0" applyFont="1" applyFill="1" applyBorder="1" applyAlignment="1" applyProtection="1">
      <alignment horizontal="center"/>
    </xf>
    <xf numFmtId="0" fontId="10" fillId="5" borderId="2" xfId="0" applyFont="1" applyFill="1" applyBorder="1" applyAlignment="1" applyProtection="1"/>
    <xf numFmtId="0" fontId="10" fillId="5" borderId="0" xfId="0" applyFont="1" applyFill="1" applyBorder="1" applyAlignment="1" applyProtection="1"/>
    <xf numFmtId="0" fontId="10" fillId="5" borderId="7" xfId="0" applyFont="1" applyFill="1" applyBorder="1" applyAlignment="1" applyProtection="1"/>
    <xf numFmtId="0" fontId="9" fillId="5" borderId="0" xfId="0" applyFont="1" applyFill="1" applyBorder="1" applyAlignment="1" applyProtection="1">
      <alignment horizontal="center"/>
    </xf>
    <xf numFmtId="2" fontId="6" fillId="5" borderId="7" xfId="0" quotePrefix="1" applyNumberFormat="1" applyFont="1" applyFill="1" applyBorder="1" applyAlignment="1" applyProtection="1">
      <alignment horizontal="center"/>
    </xf>
    <xf numFmtId="9" fontId="6" fillId="5" borderId="0" xfId="0" applyNumberFormat="1" applyFont="1" applyFill="1" applyBorder="1" applyAlignment="1" applyProtection="1">
      <alignment horizontal="center"/>
    </xf>
    <xf numFmtId="0" fontId="4" fillId="5" borderId="1" xfId="0" applyFont="1" applyFill="1" applyBorder="1" applyProtection="1"/>
    <xf numFmtId="1" fontId="6" fillId="2" borderId="0" xfId="0" applyNumberFormat="1" applyFont="1" applyFill="1" applyBorder="1" applyAlignment="1" applyProtection="1">
      <alignment horizontal="center"/>
      <protection locked="0"/>
    </xf>
    <xf numFmtId="170" fontId="6" fillId="5" borderId="0" xfId="3" applyNumberFormat="1" applyFont="1" applyFill="1" applyBorder="1" applyAlignment="1" applyProtection="1">
      <alignment horizontal="center"/>
    </xf>
    <xf numFmtId="0" fontId="24" fillId="0" borderId="0" xfId="0" applyFont="1" applyAlignment="1">
      <alignment horizontal="left" indent="1"/>
    </xf>
    <xf numFmtId="0" fontId="49" fillId="0" borderId="0" xfId="0" applyFont="1" applyAlignment="1">
      <alignment horizontal="right"/>
    </xf>
    <xf numFmtId="1" fontId="0" fillId="0" borderId="0" xfId="0" applyNumberFormat="1"/>
    <xf numFmtId="0" fontId="49" fillId="0" borderId="0" xfId="0" applyFont="1"/>
    <xf numFmtId="2" fontId="50" fillId="0" borderId="0" xfId="0" applyNumberFormat="1" applyFont="1"/>
    <xf numFmtId="0" fontId="51" fillId="0" borderId="0" xfId="0" applyFont="1"/>
    <xf numFmtId="2" fontId="39" fillId="0" borderId="0" xfId="0" applyNumberFormat="1" applyFont="1"/>
    <xf numFmtId="1" fontId="39" fillId="0" borderId="0" xfId="0" applyNumberFormat="1" applyFont="1"/>
    <xf numFmtId="44" fontId="0" fillId="0" borderId="34" xfId="0" applyNumberFormat="1" applyBorder="1"/>
    <xf numFmtId="0" fontId="6" fillId="5" borderId="0" xfId="0" applyFont="1" applyFill="1" applyBorder="1" applyAlignment="1" applyProtection="1">
      <alignment horizontal="center" vertical="center"/>
    </xf>
    <xf numFmtId="166" fontId="10" fillId="5" borderId="0" xfId="2" applyNumberFormat="1" applyFont="1" applyFill="1" applyBorder="1" applyAlignment="1" applyProtection="1">
      <alignment horizontal="center" vertical="center"/>
    </xf>
    <xf numFmtId="44" fontId="4" fillId="5" borderId="0" xfId="0" applyNumberFormat="1" applyFont="1" applyFill="1" applyProtection="1"/>
    <xf numFmtId="166" fontId="6" fillId="2" borderId="0" xfId="2" applyNumberFormat="1" applyFont="1" applyFill="1" applyBorder="1" applyProtection="1">
      <protection locked="0"/>
    </xf>
    <xf numFmtId="9" fontId="6" fillId="5" borderId="0" xfId="3" applyFont="1" applyFill="1" applyBorder="1" applyProtection="1"/>
    <xf numFmtId="166" fontId="12" fillId="5" borderId="0" xfId="2" applyNumberFormat="1" applyFont="1" applyFill="1" applyBorder="1" applyProtection="1"/>
    <xf numFmtId="0" fontId="24" fillId="5" borderId="0" xfId="0" applyFont="1" applyFill="1" applyProtection="1"/>
    <xf numFmtId="0" fontId="5" fillId="5" borderId="0" xfId="0" applyFont="1" applyFill="1" applyAlignment="1" applyProtection="1">
      <alignment horizontal="center" vertical="center"/>
    </xf>
    <xf numFmtId="0" fontId="15" fillId="5" borderId="0" xfId="0" applyFont="1" applyFill="1" applyAlignment="1" applyProtection="1">
      <alignment horizontal="left" vertical="top"/>
    </xf>
    <xf numFmtId="0" fontId="18" fillId="5" borderId="0" xfId="0" applyFont="1" applyFill="1" applyProtection="1"/>
    <xf numFmtId="0" fontId="53" fillId="5" borderId="0" xfId="0" applyFont="1" applyFill="1" applyAlignment="1" applyProtection="1">
      <alignment vertical="center"/>
    </xf>
    <xf numFmtId="0" fontId="20" fillId="5" borderId="0" xfId="0" applyFont="1" applyFill="1" applyAlignment="1" applyProtection="1">
      <alignment vertical="center"/>
    </xf>
    <xf numFmtId="0" fontId="18" fillId="5" borderId="0" xfId="0" applyFont="1" applyFill="1" applyAlignment="1" applyProtection="1">
      <alignment vertical="center"/>
    </xf>
    <xf numFmtId="0" fontId="18" fillId="5" borderId="0" xfId="0" applyFont="1" applyFill="1" applyAlignment="1" applyProtection="1">
      <alignment vertical="center" wrapText="1"/>
    </xf>
    <xf numFmtId="0" fontId="18" fillId="5" borderId="0" xfId="0" applyFont="1" applyFill="1" applyAlignment="1" applyProtection="1">
      <alignment wrapText="1"/>
    </xf>
    <xf numFmtId="0" fontId="22" fillId="5" borderId="0" xfId="0" applyFont="1" applyFill="1" applyProtection="1"/>
    <xf numFmtId="0" fontId="24" fillId="5" borderId="0" xfId="0" applyFont="1" applyFill="1" applyAlignment="1" applyProtection="1">
      <alignment horizontal="left" vertical="top"/>
    </xf>
    <xf numFmtId="9" fontId="0" fillId="0" borderId="34" xfId="3" applyFont="1" applyBorder="1"/>
    <xf numFmtId="3" fontId="18" fillId="2" borderId="0" xfId="0" applyNumberFormat="1" applyFont="1" applyFill="1" applyBorder="1" applyAlignment="1" applyProtection="1">
      <alignment horizontal="center"/>
      <protection locked="0"/>
    </xf>
    <xf numFmtId="0" fontId="24" fillId="8" borderId="33" xfId="0" applyFont="1" applyFill="1" applyBorder="1"/>
    <xf numFmtId="44" fontId="24" fillId="8" borderId="34" xfId="0" applyNumberFormat="1" applyFont="1" applyFill="1" applyBorder="1"/>
    <xf numFmtId="0" fontId="24" fillId="8" borderId="34" xfId="0" applyFont="1" applyFill="1" applyBorder="1"/>
    <xf numFmtId="44" fontId="24" fillId="8" borderId="41" xfId="0" applyNumberFormat="1" applyFont="1" applyFill="1" applyBorder="1"/>
    <xf numFmtId="0" fontId="6" fillId="5" borderId="0" xfId="0" applyFont="1" applyFill="1" applyAlignment="1">
      <alignment horizontal="justify" wrapText="1"/>
    </xf>
    <xf numFmtId="0" fontId="6" fillId="5" borderId="0" xfId="0" applyFont="1" applyFill="1" applyAlignment="1">
      <alignment horizontal="left" wrapText="1"/>
    </xf>
    <xf numFmtId="0" fontId="9" fillId="5" borderId="0" xfId="0" applyFont="1" applyFill="1" applyAlignment="1">
      <alignment horizontal="justify" wrapText="1"/>
    </xf>
    <xf numFmtId="0" fontId="18" fillId="5" borderId="0" xfId="0" applyFont="1" applyFill="1" applyBorder="1" applyAlignment="1" applyProtection="1">
      <alignment horizontal="left" wrapText="1"/>
    </xf>
    <xf numFmtId="0" fontId="18" fillId="5" borderId="8" xfId="0" applyFont="1" applyFill="1" applyBorder="1" applyAlignment="1" applyProtection="1">
      <alignment horizontal="left" wrapText="1"/>
    </xf>
    <xf numFmtId="0" fontId="10" fillId="5" borderId="0" xfId="0" applyFont="1" applyFill="1" applyBorder="1" applyAlignment="1" applyProtection="1">
      <alignment horizontal="center"/>
    </xf>
    <xf numFmtId="0" fontId="10" fillId="5" borderId="7" xfId="0" applyFont="1" applyFill="1" applyBorder="1" applyAlignment="1" applyProtection="1">
      <alignment horizontal="center"/>
    </xf>
    <xf numFmtId="0" fontId="9" fillId="5" borderId="0" xfId="0" applyFont="1" applyFill="1" applyBorder="1" applyAlignment="1" applyProtection="1">
      <alignment horizontal="center" vertical="center"/>
    </xf>
    <xf numFmtId="0" fontId="9" fillId="5" borderId="7" xfId="0" applyFont="1" applyFill="1" applyBorder="1" applyAlignment="1" applyProtection="1">
      <alignment horizontal="center"/>
    </xf>
    <xf numFmtId="0" fontId="4" fillId="5" borderId="0" xfId="0" applyFont="1" applyFill="1" applyAlignment="1" applyProtection="1">
      <alignment horizontal="left" wrapText="1"/>
    </xf>
    <xf numFmtId="0" fontId="10" fillId="5" borderId="6" xfId="0" applyFont="1" applyFill="1" applyBorder="1" applyAlignment="1" applyProtection="1">
      <alignment horizontal="center"/>
    </xf>
    <xf numFmtId="0" fontId="10" fillId="5" borderId="6" xfId="0" applyFont="1" applyFill="1" applyBorder="1" applyAlignment="1" applyProtection="1">
      <alignment horizontal="center" wrapText="1"/>
    </xf>
    <xf numFmtId="0" fontId="54" fillId="0" borderId="0" xfId="0" applyFont="1" applyFill="1" applyBorder="1" applyAlignment="1"/>
    <xf numFmtId="166" fontId="25" fillId="0" borderId="8" xfId="2" applyNumberFormat="1" applyFont="1" applyFill="1" applyBorder="1"/>
    <xf numFmtId="3" fontId="28" fillId="0" borderId="0" xfId="0" applyNumberFormat="1" applyFont="1" applyFill="1" applyBorder="1" applyAlignment="1">
      <alignment horizontal="left"/>
    </xf>
    <xf numFmtId="0" fontId="25" fillId="0" borderId="14" xfId="0" applyFont="1" applyFill="1" applyBorder="1" applyAlignment="1"/>
    <xf numFmtId="4" fontId="25" fillId="0" borderId="20" xfId="0" applyNumberFormat="1" applyFont="1" applyFill="1" applyBorder="1" applyAlignment="1">
      <alignment horizontal="center"/>
    </xf>
    <xf numFmtId="166" fontId="25" fillId="0" borderId="20" xfId="0" applyNumberFormat="1" applyFont="1" applyFill="1" applyBorder="1" applyAlignment="1">
      <alignment horizontal="center"/>
    </xf>
    <xf numFmtId="0" fontId="18" fillId="5" borderId="0" xfId="0" applyFont="1" applyFill="1" applyBorder="1" applyAlignment="1" applyProtection="1">
      <alignment horizontal="left"/>
    </xf>
    <xf numFmtId="166" fontId="55" fillId="5" borderId="0" xfId="2" applyNumberFormat="1" applyFont="1" applyFill="1" applyBorder="1" applyAlignment="1">
      <alignment horizontal="right" vertical="center"/>
    </xf>
    <xf numFmtId="9" fontId="0" fillId="13" borderId="0" xfId="3" applyFont="1" applyFill="1"/>
    <xf numFmtId="166" fontId="56" fillId="4" borderId="0" xfId="5" applyNumberFormat="1" applyFont="1" applyFill="1" applyAlignment="1" applyProtection="1">
      <alignment horizontal="center"/>
    </xf>
    <xf numFmtId="168" fontId="6" fillId="5" borderId="0" xfId="1" applyNumberFormat="1" applyFont="1" applyFill="1" applyAlignment="1" applyProtection="1">
      <alignment horizontal="center"/>
    </xf>
    <xf numFmtId="170" fontId="6" fillId="5" borderId="0" xfId="3" applyNumberFormat="1" applyFont="1" applyFill="1" applyAlignment="1" applyProtection="1">
      <alignment horizontal="center" vertical="center"/>
    </xf>
    <xf numFmtId="170" fontId="6" fillId="2" borderId="0" xfId="3" applyNumberFormat="1" applyFont="1" applyFill="1" applyBorder="1" applyAlignment="1" applyProtection="1">
      <alignment horizontal="center"/>
      <protection locked="0"/>
    </xf>
    <xf numFmtId="1" fontId="6" fillId="5" borderId="0" xfId="3" applyNumberFormat="1" applyFont="1" applyFill="1" applyBorder="1" applyAlignment="1" applyProtection="1">
      <alignment horizontal="center"/>
    </xf>
    <xf numFmtId="44" fontId="18" fillId="5" borderId="0" xfId="2" applyNumberFormat="1" applyFont="1" applyFill="1" applyBorder="1" applyAlignment="1" applyProtection="1">
      <alignment horizontal="center" vertical="center"/>
    </xf>
    <xf numFmtId="44" fontId="6" fillId="5" borderId="0" xfId="0" applyNumberFormat="1" applyFont="1" applyFill="1" applyBorder="1" applyAlignment="1" applyProtection="1">
      <alignment horizontal="left"/>
    </xf>
    <xf numFmtId="44" fontId="6" fillId="5" borderId="0" xfId="0" applyNumberFormat="1" applyFont="1" applyFill="1" applyBorder="1" applyAlignment="1" applyProtection="1">
      <alignment horizontal="center" vertical="center"/>
    </xf>
    <xf numFmtId="44" fontId="12" fillId="5" borderId="0" xfId="0" applyNumberFormat="1" applyFont="1" applyFill="1" applyBorder="1" applyAlignment="1" applyProtection="1">
      <alignment horizontal="left"/>
    </xf>
    <xf numFmtId="44" fontId="12" fillId="5" borderId="0" xfId="2" applyNumberFormat="1" applyFont="1" applyFill="1" applyBorder="1" applyAlignment="1" applyProtection="1">
      <alignment horizontal="center" vertical="center"/>
    </xf>
    <xf numFmtId="44" fontId="10" fillId="5" borderId="0" xfId="2" applyNumberFormat="1" applyFont="1" applyFill="1" applyBorder="1" applyAlignment="1" applyProtection="1">
      <alignment horizontal="center"/>
    </xf>
    <xf numFmtId="44" fontId="14" fillId="5" borderId="0" xfId="0" applyNumberFormat="1" applyFont="1" applyFill="1" applyBorder="1" applyAlignment="1" applyProtection="1">
      <alignment horizontal="left"/>
    </xf>
    <xf numFmtId="44" fontId="6" fillId="5" borderId="1" xfId="0" applyNumberFormat="1" applyFont="1" applyFill="1" applyBorder="1" applyAlignment="1" applyProtection="1">
      <alignment horizontal="center"/>
    </xf>
    <xf numFmtId="44" fontId="6" fillId="5" borderId="1" xfId="0" applyNumberFormat="1" applyFont="1" applyFill="1" applyBorder="1" applyAlignment="1" applyProtection="1">
      <alignment horizontal="right"/>
    </xf>
    <xf numFmtId="2" fontId="12" fillId="5" borderId="0" xfId="0" applyNumberFormat="1" applyFont="1" applyFill="1" applyBorder="1" applyAlignment="1" applyProtection="1">
      <alignment horizontal="center"/>
    </xf>
    <xf numFmtId="168" fontId="6" fillId="2" borderId="0" xfId="1" applyNumberFormat="1" applyFont="1" applyFill="1" applyBorder="1" applyAlignment="1" applyProtection="1">
      <alignment horizontal="center"/>
      <protection locked="0"/>
    </xf>
    <xf numFmtId="0" fontId="15" fillId="5" borderId="0" xfId="0" applyFont="1" applyFill="1" applyAlignment="1" applyProtection="1">
      <alignment horizontal="left" wrapText="1"/>
    </xf>
    <xf numFmtId="0" fontId="15" fillId="5" borderId="0" xfId="0" applyFont="1" applyFill="1" applyBorder="1" applyAlignment="1" applyProtection="1">
      <alignment horizontal="left" wrapText="1"/>
    </xf>
    <xf numFmtId="0" fontId="0" fillId="5" borderId="0" xfId="0" applyFill="1" applyProtection="1"/>
    <xf numFmtId="0" fontId="6" fillId="5" borderId="0" xfId="0" applyFont="1" applyFill="1" applyAlignment="1" applyProtection="1">
      <alignment horizontal="left" wrapText="1"/>
    </xf>
    <xf numFmtId="0" fontId="5" fillId="5" borderId="0" xfId="0" applyFont="1" applyFill="1" applyAlignment="1" applyProtection="1">
      <alignment vertical="center"/>
    </xf>
    <xf numFmtId="0" fontId="9" fillId="5" borderId="0" xfId="0" applyFont="1" applyFill="1" applyAlignment="1" applyProtection="1">
      <alignment horizontal="right" vertical="center"/>
    </xf>
    <xf numFmtId="0" fontId="9" fillId="5" borderId="0" xfId="0" applyFont="1" applyFill="1" applyBorder="1" applyAlignment="1" applyProtection="1">
      <alignment vertical="center"/>
    </xf>
    <xf numFmtId="0" fontId="9" fillId="5" borderId="0" xfId="0" applyFont="1" applyFill="1" applyBorder="1" applyAlignment="1" applyProtection="1">
      <alignment horizontal="left" vertical="center"/>
    </xf>
    <xf numFmtId="0" fontId="6" fillId="5" borderId="0" xfId="0" applyFont="1" applyFill="1" applyBorder="1" applyAlignment="1" applyProtection="1">
      <alignment vertical="center"/>
    </xf>
    <xf numFmtId="0" fontId="9" fillId="5" borderId="0" xfId="0" applyFont="1" applyFill="1" applyProtection="1"/>
    <xf numFmtId="0" fontId="9" fillId="5" borderId="7" xfId="0" applyFont="1" applyFill="1" applyBorder="1" applyAlignment="1" applyProtection="1">
      <alignment horizontal="center" vertical="center" wrapText="1"/>
    </xf>
    <xf numFmtId="0" fontId="6" fillId="5" borderId="7" xfId="0" applyFont="1" applyFill="1" applyBorder="1" applyAlignment="1" applyProtection="1">
      <alignment vertical="center"/>
    </xf>
    <xf numFmtId="3" fontId="6" fillId="5" borderId="0" xfId="0" quotePrefix="1" applyNumberFormat="1" applyFont="1" applyFill="1" applyBorder="1" applyAlignment="1" applyProtection="1">
      <alignment horizontal="center"/>
    </xf>
    <xf numFmtId="0" fontId="18" fillId="5" borderId="0" xfId="0" applyFont="1" applyFill="1" applyBorder="1" applyAlignment="1" applyProtection="1">
      <alignment horizontal="center" wrapText="1"/>
    </xf>
    <xf numFmtId="44" fontId="20" fillId="5" borderId="0" xfId="2" applyFont="1" applyFill="1" applyBorder="1" applyAlignment="1" applyProtection="1">
      <alignment horizontal="center" wrapText="1"/>
    </xf>
    <xf numFmtId="0" fontId="6" fillId="5" borderId="0" xfId="0" applyFont="1" applyFill="1" applyBorder="1" applyAlignment="1" applyProtection="1">
      <alignment horizontal="left" vertical="center"/>
    </xf>
    <xf numFmtId="0" fontId="0" fillId="5" borderId="0" xfId="0" applyFill="1" applyBorder="1" applyProtection="1"/>
    <xf numFmtId="0" fontId="9" fillId="5" borderId="7" xfId="0" applyFont="1" applyFill="1" applyBorder="1" applyAlignment="1" applyProtection="1">
      <alignment horizontal="center" vertical="center"/>
    </xf>
    <xf numFmtId="170" fontId="6" fillId="5" borderId="0" xfId="3" quotePrefix="1" applyNumberFormat="1" applyFont="1" applyFill="1" applyBorder="1" applyAlignment="1" applyProtection="1">
      <alignment horizontal="center" vertical="center"/>
    </xf>
    <xf numFmtId="0" fontId="0" fillId="5" borderId="0" xfId="0" applyFill="1" applyAlignment="1" applyProtection="1">
      <alignment vertical="center"/>
    </xf>
    <xf numFmtId="0" fontId="6" fillId="5" borderId="0" xfId="0" applyFont="1" applyFill="1" applyAlignment="1" applyProtection="1">
      <alignment vertical="center"/>
    </xf>
    <xf numFmtId="170" fontId="18" fillId="5" borderId="0" xfId="3" quotePrefix="1" applyNumberFormat="1" applyFont="1" applyFill="1" applyBorder="1" applyAlignment="1" applyProtection="1">
      <alignment horizontal="center" vertical="center"/>
    </xf>
    <xf numFmtId="0" fontId="6" fillId="5" borderId="0" xfId="0" applyFont="1" applyFill="1" applyAlignment="1" applyProtection="1">
      <alignment horizontal="center" vertical="center"/>
    </xf>
    <xf numFmtId="0" fontId="43" fillId="5" borderId="0" xfId="0" applyFont="1" applyFill="1" applyBorder="1" applyAlignment="1" applyProtection="1">
      <alignment horizontal="right"/>
    </xf>
    <xf numFmtId="0" fontId="43" fillId="5" borderId="0" xfId="0" applyFont="1" applyFill="1" applyBorder="1" applyProtection="1"/>
    <xf numFmtId="3" fontId="43" fillId="5" borderId="0" xfId="2" quotePrefix="1" applyNumberFormat="1" applyFont="1" applyFill="1" applyBorder="1" applyAlignment="1" applyProtection="1">
      <alignment horizontal="center"/>
    </xf>
    <xf numFmtId="0" fontId="43" fillId="5" borderId="0" xfId="0" applyFont="1" applyFill="1" applyBorder="1" applyAlignment="1" applyProtection="1">
      <alignment horizontal="center"/>
    </xf>
    <xf numFmtId="2" fontId="43" fillId="5" borderId="0" xfId="0" quotePrefix="1" applyNumberFormat="1" applyFont="1" applyFill="1" applyBorder="1" applyAlignment="1" applyProtection="1">
      <alignment horizontal="center"/>
    </xf>
    <xf numFmtId="3" fontId="18" fillId="5" borderId="0" xfId="2" quotePrefix="1" applyNumberFormat="1" applyFont="1" applyFill="1" applyBorder="1" applyAlignment="1" applyProtection="1">
      <alignment horizontal="center"/>
    </xf>
    <xf numFmtId="2" fontId="6" fillId="5" borderId="0" xfId="0" applyNumberFormat="1" applyFont="1" applyFill="1" applyAlignment="1" applyProtection="1">
      <alignment horizontal="center"/>
    </xf>
    <xf numFmtId="0" fontId="12" fillId="5" borderId="0" xfId="0" applyFont="1" applyFill="1" applyBorder="1" applyProtection="1"/>
    <xf numFmtId="166" fontId="12" fillId="5" borderId="0" xfId="2" quotePrefix="1" applyNumberFormat="1" applyFont="1" applyFill="1" applyBorder="1" applyProtection="1"/>
    <xf numFmtId="44" fontId="12" fillId="5" borderId="0" xfId="2" quotePrefix="1" applyNumberFormat="1" applyFont="1" applyFill="1" applyBorder="1" applyProtection="1"/>
    <xf numFmtId="0" fontId="12" fillId="5" borderId="0" xfId="0" quotePrefix="1" applyFont="1" applyFill="1" applyBorder="1" applyProtection="1"/>
    <xf numFmtId="0" fontId="44" fillId="5" borderId="0" xfId="0" applyFont="1" applyFill="1" applyBorder="1" applyProtection="1"/>
    <xf numFmtId="166" fontId="6" fillId="5" borderId="0" xfId="2" quotePrefix="1" applyNumberFormat="1" applyFont="1" applyFill="1" applyBorder="1" applyProtection="1"/>
    <xf numFmtId="166" fontId="18" fillId="5" borderId="0" xfId="2" applyNumberFormat="1" applyFont="1" applyFill="1" applyBorder="1" applyAlignment="1" applyProtection="1">
      <alignment horizontal="right" wrapText="1"/>
    </xf>
    <xf numFmtId="44" fontId="18" fillId="5" borderId="0" xfId="2" applyNumberFormat="1" applyFont="1" applyFill="1" applyBorder="1" applyAlignment="1" applyProtection="1">
      <alignment horizontal="right" wrapText="1"/>
    </xf>
    <xf numFmtId="44" fontId="13" fillId="5" borderId="0" xfId="2" applyFont="1" applyFill="1" applyBorder="1" applyAlignment="1" applyProtection="1">
      <alignment horizontal="center" vertical="center"/>
    </xf>
    <xf numFmtId="44" fontId="18" fillId="5" borderId="0" xfId="2" applyFont="1" applyFill="1" applyBorder="1" applyAlignment="1" applyProtection="1">
      <alignment horizontal="right" wrapText="1"/>
    </xf>
    <xf numFmtId="0" fontId="6" fillId="5" borderId="10" xfId="0" applyFont="1" applyFill="1" applyBorder="1" applyProtection="1"/>
    <xf numFmtId="166" fontId="6" fillId="5" borderId="10" xfId="2" applyNumberFormat="1" applyFont="1" applyFill="1" applyBorder="1" applyProtection="1"/>
    <xf numFmtId="166" fontId="9" fillId="5" borderId="0" xfId="2" quotePrefix="1" applyNumberFormat="1" applyFont="1" applyFill="1" applyBorder="1" applyProtection="1"/>
    <xf numFmtId="166" fontId="9" fillId="5" borderId="0" xfId="2" applyNumberFormat="1" applyFont="1" applyFill="1" applyBorder="1" applyProtection="1"/>
    <xf numFmtId="44" fontId="9" fillId="5" borderId="0" xfId="2" applyNumberFormat="1" applyFont="1" applyFill="1" applyBorder="1" applyProtection="1"/>
    <xf numFmtId="44" fontId="6" fillId="5" borderId="0" xfId="0" applyNumberFormat="1" applyFont="1" applyFill="1" applyBorder="1" applyProtection="1"/>
    <xf numFmtId="44" fontId="6" fillId="5" borderId="7" xfId="0" applyNumberFormat="1" applyFont="1" applyFill="1" applyBorder="1" applyProtection="1"/>
    <xf numFmtId="166" fontId="13" fillId="5" borderId="0" xfId="2" applyNumberFormat="1" applyFont="1" applyFill="1" applyBorder="1" applyProtection="1"/>
    <xf numFmtId="44" fontId="20" fillId="5" borderId="0" xfId="2" applyFont="1" applyFill="1" applyBorder="1" applyAlignment="1" applyProtection="1">
      <alignment horizontal="right" wrapText="1"/>
    </xf>
    <xf numFmtId="44" fontId="13" fillId="5" borderId="0" xfId="2" applyNumberFormat="1" applyFont="1" applyFill="1" applyBorder="1" applyProtection="1"/>
    <xf numFmtId="0" fontId="6" fillId="5" borderId="10" xfId="0" applyFont="1" applyFill="1" applyBorder="1" applyAlignment="1" applyProtection="1">
      <alignment horizontal="right"/>
    </xf>
    <xf numFmtId="0" fontId="11" fillId="3" borderId="0" xfId="0" applyFont="1" applyFill="1" applyBorder="1" applyProtection="1"/>
    <xf numFmtId="166" fontId="17" fillId="3" borderId="0" xfId="2" applyNumberFormat="1" applyFont="1" applyFill="1" applyBorder="1" applyAlignment="1" applyProtection="1">
      <alignment horizontal="right"/>
    </xf>
    <xf numFmtId="44" fontId="17" fillId="3" borderId="0" xfId="2" applyNumberFormat="1" applyFont="1" applyFill="1" applyBorder="1" applyAlignment="1" applyProtection="1">
      <alignment horizontal="right"/>
    </xf>
    <xf numFmtId="0" fontId="9" fillId="5" borderId="6" xfId="0" applyFont="1" applyFill="1" applyBorder="1" applyProtection="1"/>
    <xf numFmtId="0" fontId="9" fillId="5" borderId="38" xfId="0" applyFont="1" applyFill="1" applyBorder="1" applyAlignment="1" applyProtection="1">
      <alignment horizontal="center" vertical="center" wrapText="1"/>
    </xf>
    <xf numFmtId="0" fontId="6" fillId="5" borderId="38" xfId="0" applyFont="1" applyFill="1" applyBorder="1" applyAlignment="1" applyProtection="1">
      <alignment vertical="center"/>
    </xf>
    <xf numFmtId="0" fontId="17" fillId="3" borderId="0" xfId="0" applyFont="1" applyFill="1" applyBorder="1" applyAlignment="1" applyProtection="1">
      <alignment horizontal="left" wrapText="1"/>
    </xf>
    <xf numFmtId="0" fontId="20" fillId="3" borderId="0" xfId="0" applyFont="1" applyFill="1" applyBorder="1" applyAlignment="1" applyProtection="1">
      <alignment horizontal="left" wrapText="1"/>
    </xf>
    <xf numFmtId="0" fontId="18" fillId="3" borderId="0" xfId="0" applyFont="1" applyFill="1" applyBorder="1" applyAlignment="1" applyProtection="1">
      <alignment horizontal="left" wrapText="1"/>
    </xf>
    <xf numFmtId="44" fontId="20" fillId="3" borderId="0" xfId="2" applyFont="1" applyFill="1" applyBorder="1" applyAlignment="1" applyProtection="1">
      <alignment horizontal="right" wrapText="1"/>
    </xf>
    <xf numFmtId="44" fontId="11" fillId="3" borderId="0" xfId="2" applyFont="1" applyFill="1" applyProtection="1"/>
    <xf numFmtId="44" fontId="6" fillId="3" borderId="0" xfId="2" applyFont="1" applyFill="1" applyProtection="1"/>
    <xf numFmtId="44" fontId="6" fillId="5" borderId="0" xfId="2" applyFont="1" applyFill="1" applyProtection="1"/>
    <xf numFmtId="0" fontId="44" fillId="17" borderId="8" xfId="0" applyFont="1" applyFill="1" applyBorder="1" applyAlignment="1" applyProtection="1">
      <alignment horizontal="right"/>
    </xf>
    <xf numFmtId="0" fontId="44" fillId="17" borderId="0" xfId="0" applyFont="1" applyFill="1" applyProtection="1"/>
    <xf numFmtId="166" fontId="44" fillId="17" borderId="0" xfId="2" applyNumberFormat="1" applyFont="1" applyFill="1" applyAlignment="1" applyProtection="1">
      <alignment horizontal="center" vertical="center"/>
    </xf>
    <xf numFmtId="44" fontId="44" fillId="17" borderId="0" xfId="0" applyNumberFormat="1" applyFont="1" applyFill="1" applyProtection="1"/>
    <xf numFmtId="44" fontId="44" fillId="17" borderId="0" xfId="2" applyNumberFormat="1" applyFont="1" applyFill="1" applyAlignment="1" applyProtection="1">
      <alignment horizontal="center" vertical="center"/>
    </xf>
    <xf numFmtId="44" fontId="12" fillId="5" borderId="0" xfId="2" applyNumberFormat="1" applyFont="1" applyFill="1" applyAlignment="1" applyProtection="1">
      <alignment horizontal="center" vertical="center"/>
    </xf>
    <xf numFmtId="0" fontId="12" fillId="5" borderId="8" xfId="0" applyFont="1" applyFill="1" applyBorder="1" applyAlignment="1" applyProtection="1">
      <alignment horizontal="right"/>
    </xf>
    <xf numFmtId="0" fontId="12" fillId="5" borderId="0" xfId="0" applyFont="1" applyFill="1" applyBorder="1" applyAlignment="1" applyProtection="1">
      <alignment horizontal="left" wrapText="1"/>
    </xf>
    <xf numFmtId="166" fontId="12" fillId="5" borderId="0" xfId="2" applyNumberFormat="1" applyFont="1" applyFill="1" applyAlignment="1" applyProtection="1">
      <alignment horizontal="center" vertical="center"/>
    </xf>
    <xf numFmtId="44" fontId="12" fillId="5" borderId="0" xfId="0" applyNumberFormat="1" applyFont="1" applyFill="1" applyBorder="1" applyAlignment="1" applyProtection="1">
      <alignment horizontal="left" wrapText="1"/>
    </xf>
    <xf numFmtId="44" fontId="18" fillId="5" borderId="0" xfId="0" applyNumberFormat="1" applyFont="1" applyFill="1" applyBorder="1" applyAlignment="1" applyProtection="1">
      <alignment horizontal="left" wrapText="1"/>
    </xf>
    <xf numFmtId="0" fontId="12" fillId="5" borderId="8" xfId="0" applyFont="1" applyFill="1" applyBorder="1" applyAlignment="1" applyProtection="1">
      <alignment horizontal="right" wrapText="1"/>
    </xf>
    <xf numFmtId="0" fontId="18" fillId="5" borderId="0" xfId="0" applyFont="1" applyFill="1" applyBorder="1" applyAlignment="1" applyProtection="1">
      <alignment wrapText="1"/>
    </xf>
    <xf numFmtId="0" fontId="44" fillId="5" borderId="8" xfId="0" applyFont="1" applyFill="1" applyBorder="1" applyAlignment="1" applyProtection="1">
      <alignment horizontal="right"/>
    </xf>
    <xf numFmtId="166" fontId="44" fillId="5" borderId="0" xfId="2" applyNumberFormat="1" applyFont="1" applyFill="1" applyAlignment="1" applyProtection="1">
      <alignment horizontal="center" vertical="center"/>
    </xf>
    <xf numFmtId="44" fontId="44" fillId="5" borderId="0" xfId="2" applyNumberFormat="1" applyFont="1" applyFill="1" applyAlignment="1" applyProtection="1">
      <alignment horizontal="center" vertical="center"/>
    </xf>
    <xf numFmtId="44" fontId="12" fillId="5" borderId="0" xfId="0" applyNumberFormat="1" applyFont="1" applyFill="1" applyProtection="1"/>
    <xf numFmtId="44" fontId="12" fillId="5" borderId="0" xfId="2" applyNumberFormat="1" applyFont="1" applyFill="1" applyBorder="1" applyAlignment="1" applyProtection="1">
      <alignment horizontal="right" wrapText="1"/>
    </xf>
    <xf numFmtId="0" fontId="12" fillId="5" borderId="0" xfId="0" applyFont="1" applyFill="1" applyProtection="1"/>
    <xf numFmtId="0" fontId="18" fillId="5" borderId="8" xfId="0" applyFont="1" applyFill="1" applyBorder="1" applyAlignment="1" applyProtection="1">
      <alignment horizontal="justify" wrapText="1"/>
    </xf>
    <xf numFmtId="0" fontId="18" fillId="5" borderId="0" xfId="0" applyFont="1" applyFill="1" applyBorder="1" applyAlignment="1" applyProtection="1">
      <alignment horizontal="justify" wrapText="1"/>
    </xf>
    <xf numFmtId="44" fontId="18" fillId="5" borderId="0" xfId="0" applyNumberFormat="1" applyFont="1" applyFill="1" applyBorder="1" applyAlignment="1" applyProtection="1">
      <alignment horizontal="justify" wrapText="1"/>
    </xf>
    <xf numFmtId="166" fontId="46" fillId="5" borderId="0" xfId="2" applyNumberFormat="1" applyFont="1" applyFill="1" applyBorder="1" applyAlignment="1" applyProtection="1">
      <alignment horizontal="right" wrapText="1"/>
    </xf>
    <xf numFmtId="44" fontId="46" fillId="5" borderId="0" xfId="2" applyNumberFormat="1" applyFont="1" applyFill="1" applyBorder="1" applyAlignment="1" applyProtection="1">
      <alignment horizontal="right" wrapText="1"/>
    </xf>
    <xf numFmtId="0" fontId="6" fillId="5" borderId="39" xfId="0" applyFont="1" applyFill="1" applyBorder="1" applyProtection="1"/>
    <xf numFmtId="166" fontId="6" fillId="5" borderId="7" xfId="2" applyNumberFormat="1" applyFont="1" applyFill="1" applyBorder="1" applyProtection="1"/>
    <xf numFmtId="44" fontId="6" fillId="5" borderId="7" xfId="2" applyNumberFormat="1" applyFont="1" applyFill="1" applyBorder="1" applyProtection="1"/>
    <xf numFmtId="166" fontId="9" fillId="5" borderId="0" xfId="2" applyNumberFormat="1" applyFont="1" applyFill="1" applyAlignment="1" applyProtection="1">
      <alignment horizontal="center" vertical="center"/>
    </xf>
    <xf numFmtId="44" fontId="20" fillId="5" borderId="0" xfId="0" applyNumberFormat="1" applyFont="1" applyFill="1" applyBorder="1" applyAlignment="1" applyProtection="1">
      <alignment horizontal="left" wrapText="1"/>
    </xf>
    <xf numFmtId="44" fontId="9" fillId="5" borderId="0" xfId="2" applyNumberFormat="1" applyFont="1" applyFill="1" applyAlignment="1" applyProtection="1">
      <alignment horizontal="center" vertical="center"/>
    </xf>
    <xf numFmtId="0" fontId="17" fillId="3" borderId="0" xfId="0" applyFont="1" applyFill="1" applyBorder="1" applyAlignment="1" applyProtection="1">
      <alignment horizontal="left" vertical="center" wrapText="1"/>
    </xf>
    <xf numFmtId="0" fontId="6" fillId="3" borderId="0" xfId="0" applyFont="1" applyFill="1" applyProtection="1"/>
    <xf numFmtId="166" fontId="6" fillId="3" borderId="0" xfId="2" applyNumberFormat="1" applyFont="1" applyFill="1" applyBorder="1" applyProtection="1"/>
    <xf numFmtId="44" fontId="6" fillId="3" borderId="0" xfId="0" applyNumberFormat="1" applyFont="1" applyFill="1" applyProtection="1"/>
    <xf numFmtId="44" fontId="6" fillId="3" borderId="0" xfId="2" applyNumberFormat="1" applyFont="1" applyFill="1" applyBorder="1" applyProtection="1"/>
    <xf numFmtId="0" fontId="17" fillId="3" borderId="0" xfId="0" applyFont="1" applyFill="1" applyBorder="1" applyAlignment="1" applyProtection="1">
      <alignment horizontal="left" vertical="center"/>
    </xf>
    <xf numFmtId="0" fontId="6" fillId="5" borderId="14" xfId="0" applyFont="1" applyFill="1" applyBorder="1" applyProtection="1"/>
    <xf numFmtId="7" fontId="44" fillId="17" borderId="0" xfId="2" applyNumberFormat="1" applyFont="1" applyFill="1" applyAlignment="1" applyProtection="1">
      <alignment horizontal="center" vertical="center"/>
    </xf>
    <xf numFmtId="0" fontId="47" fillId="5" borderId="0" xfId="0" applyFont="1" applyFill="1" applyProtection="1"/>
    <xf numFmtId="44" fontId="47" fillId="5" borderId="0" xfId="0" applyNumberFormat="1" applyFont="1" applyFill="1" applyProtection="1"/>
    <xf numFmtId="7" fontId="12" fillId="5" borderId="0" xfId="2" applyNumberFormat="1" applyFont="1" applyFill="1" applyAlignment="1" applyProtection="1">
      <alignment horizontal="center" vertical="center"/>
    </xf>
    <xf numFmtId="0" fontId="45" fillId="17" borderId="0" xfId="0" applyFont="1" applyFill="1" applyBorder="1" applyProtection="1"/>
    <xf numFmtId="166" fontId="6" fillId="5" borderId="0" xfId="2" applyNumberFormat="1" applyFont="1" applyFill="1" applyAlignment="1" applyProtection="1">
      <alignment horizontal="right" vertical="center"/>
    </xf>
    <xf numFmtId="44" fontId="6" fillId="5" borderId="0" xfId="0" applyNumberFormat="1" applyFont="1" applyFill="1" applyAlignment="1" applyProtection="1">
      <alignment horizontal="right"/>
    </xf>
    <xf numFmtId="44" fontId="6" fillId="5" borderId="0" xfId="2" applyNumberFormat="1" applyFont="1" applyFill="1" applyAlignment="1" applyProtection="1">
      <alignment horizontal="right" vertical="center"/>
    </xf>
    <xf numFmtId="7" fontId="6" fillId="5" borderId="0" xfId="2" applyNumberFormat="1" applyFont="1" applyFill="1" applyAlignment="1" applyProtection="1">
      <alignment horizontal="right" vertical="center"/>
    </xf>
    <xf numFmtId="0" fontId="17" fillId="3" borderId="0" xfId="0" applyFont="1" applyFill="1" applyProtection="1"/>
    <xf numFmtId="166" fontId="17" fillId="3" borderId="0" xfId="2" applyNumberFormat="1" applyFont="1" applyFill="1" applyAlignment="1" applyProtection="1">
      <alignment horizontal="center" vertical="center"/>
    </xf>
    <xf numFmtId="44" fontId="17" fillId="3" borderId="0" xfId="0" applyNumberFormat="1" applyFont="1" applyFill="1" applyProtection="1"/>
    <xf numFmtId="44" fontId="17" fillId="3" borderId="0" xfId="2" applyNumberFormat="1" applyFont="1" applyFill="1" applyAlignment="1" applyProtection="1">
      <alignment horizontal="center" vertical="center"/>
    </xf>
    <xf numFmtId="0" fontId="18" fillId="5" borderId="0" xfId="0" applyFont="1" applyFill="1" applyBorder="1" applyAlignment="1" applyProtection="1">
      <alignment horizontal="left" wrapText="1"/>
    </xf>
    <xf numFmtId="0" fontId="18" fillId="5" borderId="8" xfId="0" applyFont="1" applyFill="1" applyBorder="1" applyAlignment="1" applyProtection="1">
      <alignment horizontal="left" wrapText="1"/>
    </xf>
    <xf numFmtId="44" fontId="0" fillId="0" borderId="0" xfId="0" applyNumberFormat="1"/>
    <xf numFmtId="44" fontId="6" fillId="5" borderId="7" xfId="2" applyNumberFormat="1" applyFont="1" applyFill="1" applyBorder="1" applyAlignment="1" applyProtection="1">
      <alignment horizontal="center" vertical="center"/>
    </xf>
    <xf numFmtId="44" fontId="6" fillId="5" borderId="7" xfId="2" applyNumberFormat="1" applyFont="1" applyFill="1" applyBorder="1" applyAlignment="1" applyProtection="1">
      <alignment horizontal="center" vertical="center" wrapText="1"/>
    </xf>
    <xf numFmtId="0" fontId="9" fillId="5" borderId="0" xfId="0" applyFont="1" applyFill="1" applyBorder="1" applyAlignment="1" applyProtection="1">
      <alignment horizontal="left" indent="4"/>
    </xf>
    <xf numFmtId="166" fontId="9" fillId="5" borderId="0" xfId="0" applyNumberFormat="1" applyFont="1" applyFill="1" applyProtection="1"/>
    <xf numFmtId="44" fontId="9" fillId="5" borderId="0" xfId="0" applyNumberFormat="1" applyFont="1" applyFill="1" applyProtection="1"/>
    <xf numFmtId="166" fontId="6" fillId="5" borderId="0" xfId="0" applyNumberFormat="1" applyFont="1" applyFill="1" applyBorder="1" applyAlignment="1" applyProtection="1">
      <alignment horizontal="center" vertical="center"/>
    </xf>
    <xf numFmtId="0" fontId="18" fillId="5" borderId="7" xfId="0" applyFont="1" applyFill="1" applyBorder="1" applyAlignment="1" applyProtection="1">
      <alignment horizontal="left" wrapText="1"/>
    </xf>
    <xf numFmtId="0" fontId="18" fillId="5" borderId="39" xfId="0" applyFont="1" applyFill="1" applyBorder="1" applyAlignment="1" applyProtection="1">
      <alignment horizontal="left" wrapText="1"/>
    </xf>
    <xf numFmtId="166" fontId="6" fillId="5" borderId="7" xfId="2" applyNumberFormat="1" applyFont="1" applyFill="1" applyBorder="1" applyAlignment="1" applyProtection="1">
      <alignment horizontal="center" vertical="center" wrapText="1"/>
    </xf>
    <xf numFmtId="0" fontId="20" fillId="5" borderId="7" xfId="0" applyFont="1" applyFill="1" applyBorder="1" applyAlignment="1" applyProtection="1">
      <alignment horizontal="left" wrapText="1"/>
    </xf>
    <xf numFmtId="166" fontId="20" fillId="5" borderId="7" xfId="0" applyNumberFormat="1" applyFont="1" applyFill="1" applyBorder="1" applyAlignment="1" applyProtection="1">
      <alignment horizontal="left" wrapText="1"/>
    </xf>
    <xf numFmtId="44" fontId="20" fillId="5" borderId="7" xfId="2" applyNumberFormat="1" applyFont="1" applyFill="1" applyBorder="1" applyAlignment="1" applyProtection="1">
      <alignment horizontal="center" vertical="center" wrapText="1"/>
    </xf>
    <xf numFmtId="166" fontId="20" fillId="5" borderId="7" xfId="2" applyNumberFormat="1" applyFont="1" applyFill="1" applyBorder="1" applyAlignment="1" applyProtection="1">
      <alignment horizontal="right" wrapText="1"/>
    </xf>
    <xf numFmtId="10" fontId="0" fillId="14" borderId="0" xfId="3" applyNumberFormat="1" applyFont="1" applyFill="1"/>
    <xf numFmtId="44" fontId="0" fillId="13" borderId="0" xfId="0" applyNumberFormat="1" applyFill="1"/>
    <xf numFmtId="0" fontId="4" fillId="0" borderId="0" xfId="0" applyFont="1" applyAlignment="1">
      <alignment horizontal="right"/>
    </xf>
    <xf numFmtId="0" fontId="0" fillId="8" borderId="0" xfId="0" applyFill="1"/>
    <xf numFmtId="0" fontId="0" fillId="8" borderId="25" xfId="0" applyFill="1" applyBorder="1"/>
    <xf numFmtId="0" fontId="0" fillId="8" borderId="27" xfId="0" applyFill="1" applyBorder="1"/>
    <xf numFmtId="166" fontId="0" fillId="8" borderId="29" xfId="0" applyNumberFormat="1" applyFill="1" applyBorder="1"/>
    <xf numFmtId="166" fontId="0" fillId="8" borderId="32" xfId="0" applyNumberFormat="1" applyFill="1" applyBorder="1"/>
    <xf numFmtId="173" fontId="0" fillId="0" borderId="0" xfId="0" applyNumberFormat="1"/>
    <xf numFmtId="0" fontId="18" fillId="5" borderId="0" xfId="0" applyFont="1" applyFill="1" applyBorder="1" applyAlignment="1" applyProtection="1">
      <alignment horizontal="left" wrapText="1"/>
    </xf>
    <xf numFmtId="0" fontId="18" fillId="0" borderId="40" xfId="0" applyFont="1" applyFill="1" applyBorder="1" applyAlignment="1"/>
    <xf numFmtId="0" fontId="18" fillId="0" borderId="0" xfId="0" applyFont="1" applyFill="1" applyBorder="1" applyAlignment="1"/>
    <xf numFmtId="0" fontId="18" fillId="0" borderId="40" xfId="0" applyFont="1" applyFill="1" applyBorder="1" applyAlignment="1">
      <alignment vertical="center"/>
    </xf>
    <xf numFmtId="0" fontId="18" fillId="0" borderId="0" xfId="0" applyFont="1" applyFill="1" applyBorder="1" applyAlignment="1">
      <alignment vertical="center"/>
    </xf>
    <xf numFmtId="0" fontId="2" fillId="5" borderId="0" xfId="0" applyFont="1" applyFill="1" applyBorder="1" applyProtection="1"/>
    <xf numFmtId="44" fontId="0" fillId="8" borderId="0" xfId="0" applyNumberFormat="1" applyFill="1" applyBorder="1" applyAlignment="1"/>
    <xf numFmtId="44" fontId="0" fillId="8" borderId="29" xfId="0" applyNumberFormat="1" applyFill="1" applyBorder="1" applyAlignment="1"/>
    <xf numFmtId="44" fontId="0" fillId="8" borderId="0" xfId="0" applyNumberFormat="1" applyFill="1" applyBorder="1"/>
    <xf numFmtId="44" fontId="0" fillId="8" borderId="29" xfId="0" applyNumberFormat="1" applyFill="1" applyBorder="1"/>
    <xf numFmtId="44" fontId="0" fillId="8" borderId="31" xfId="0" applyNumberFormat="1" applyFill="1" applyBorder="1"/>
    <xf numFmtId="44" fontId="0" fillId="8" borderId="32" xfId="0" applyNumberFormat="1" applyFill="1" applyBorder="1"/>
    <xf numFmtId="0" fontId="9" fillId="5" borderId="0" xfId="0" applyFont="1" applyFill="1" applyBorder="1" applyAlignment="1" applyProtection="1">
      <alignment horizontal="center"/>
    </xf>
    <xf numFmtId="0" fontId="18" fillId="5" borderId="0" xfId="0" applyFont="1" applyFill="1" applyBorder="1" applyAlignment="1" applyProtection="1">
      <alignment horizontal="left" wrapText="1"/>
    </xf>
    <xf numFmtId="0" fontId="18" fillId="5" borderId="8" xfId="0" applyFont="1" applyFill="1" applyBorder="1" applyAlignment="1" applyProtection="1">
      <alignment horizontal="left" wrapText="1"/>
    </xf>
    <xf numFmtId="0" fontId="10" fillId="5" borderId="6" xfId="0" applyFont="1" applyFill="1" applyBorder="1" applyAlignment="1" applyProtection="1">
      <alignment horizontal="center" wrapText="1"/>
    </xf>
    <xf numFmtId="174" fontId="6" fillId="5" borderId="0" xfId="2" applyNumberFormat="1" applyFont="1" applyFill="1" applyAlignment="1" applyProtection="1">
      <alignment horizontal="center" vertical="center"/>
    </xf>
    <xf numFmtId="168" fontId="0" fillId="0" borderId="0" xfId="0" applyNumberFormat="1"/>
    <xf numFmtId="0" fontId="1" fillId="5" borderId="0" xfId="0" applyFont="1" applyFill="1" applyBorder="1" applyProtection="1"/>
    <xf numFmtId="175" fontId="11" fillId="5" borderId="0" xfId="2" applyNumberFormat="1" applyFont="1" applyFill="1" applyAlignment="1" applyProtection="1">
      <alignment horizontal="center" vertical="center"/>
    </xf>
    <xf numFmtId="166" fontId="58" fillId="5" borderId="0" xfId="2" applyNumberFormat="1" applyFont="1" applyFill="1" applyAlignment="1" applyProtection="1">
      <alignment horizontal="center" vertical="center"/>
    </xf>
    <xf numFmtId="44" fontId="58" fillId="5" borderId="0" xfId="2" applyNumberFormat="1" applyFont="1" applyFill="1" applyAlignment="1" applyProtection="1">
      <alignment horizontal="center" vertical="center"/>
    </xf>
    <xf numFmtId="0" fontId="1" fillId="5" borderId="0" xfId="0" applyFont="1" applyFill="1" applyProtection="1"/>
    <xf numFmtId="0" fontId="1" fillId="5" borderId="0" xfId="0" applyFont="1" applyFill="1" applyAlignment="1" applyProtection="1">
      <alignment horizontal="left" vertical="center"/>
    </xf>
    <xf numFmtId="165" fontId="6" fillId="5" borderId="0" xfId="0" applyNumberFormat="1" applyFont="1" applyFill="1" applyBorder="1" applyAlignment="1" applyProtection="1">
      <alignment horizontal="center" vertical="center"/>
    </xf>
    <xf numFmtId="168" fontId="6" fillId="5" borderId="0" xfId="0" quotePrefix="1" applyNumberFormat="1" applyFont="1" applyFill="1" applyBorder="1" applyAlignment="1" applyProtection="1">
      <alignment horizontal="center" vertical="center"/>
    </xf>
    <xf numFmtId="0" fontId="1" fillId="5" borderId="0" xfId="0" applyFont="1" applyFill="1" applyBorder="1" applyAlignment="1" applyProtection="1">
      <alignment horizontal="left" vertical="center"/>
    </xf>
    <xf numFmtId="9" fontId="0" fillId="0" borderId="0" xfId="0" applyNumberFormat="1"/>
    <xf numFmtId="166" fontId="0" fillId="0" borderId="0" xfId="0" applyNumberFormat="1" applyFill="1"/>
    <xf numFmtId="44" fontId="0" fillId="0" borderId="0" xfId="0" applyNumberFormat="1" applyFill="1"/>
    <xf numFmtId="166" fontId="0" fillId="14" borderId="0" xfId="0" applyNumberFormat="1" applyFill="1"/>
    <xf numFmtId="166" fontId="0" fillId="8" borderId="0" xfId="0" applyNumberFormat="1" applyFill="1"/>
    <xf numFmtId="0" fontId="18" fillId="5" borderId="0" xfId="0" applyFont="1" applyFill="1" applyAlignment="1">
      <alignment horizontal="justify" vertical="center" wrapText="1"/>
    </xf>
    <xf numFmtId="0" fontId="57" fillId="5" borderId="0" xfId="5" applyFont="1" applyFill="1" applyAlignment="1" applyProtection="1">
      <alignment horizontal="justify" vertical="top" wrapText="1"/>
    </xf>
    <xf numFmtId="0" fontId="6" fillId="5" borderId="0" xfId="0" applyFont="1" applyFill="1" applyAlignment="1">
      <alignment horizontal="left"/>
    </xf>
    <xf numFmtId="0" fontId="2" fillId="5" borderId="0" xfId="0" applyFont="1" applyFill="1" applyAlignment="1">
      <alignment horizontal="justify" wrapText="1"/>
    </xf>
    <xf numFmtId="0" fontId="6" fillId="5" borderId="0" xfId="0" applyFont="1" applyFill="1" applyAlignment="1">
      <alignment horizontal="justify" wrapText="1"/>
    </xf>
    <xf numFmtId="0" fontId="2" fillId="5" borderId="0" xfId="0" applyFont="1" applyFill="1" applyAlignment="1">
      <alignment horizontal="justify" vertical="top" wrapText="1"/>
    </xf>
    <xf numFmtId="0" fontId="6" fillId="5" borderId="0" xfId="0" applyFont="1" applyFill="1" applyAlignment="1">
      <alignment horizontal="justify" vertical="top" wrapText="1"/>
    </xf>
    <xf numFmtId="0" fontId="6" fillId="5" borderId="0" xfId="0" applyFont="1" applyFill="1" applyAlignment="1">
      <alignment horizontal="left" wrapText="1"/>
    </xf>
    <xf numFmtId="0" fontId="9" fillId="5" borderId="0" xfId="0" applyFont="1" applyFill="1" applyAlignment="1">
      <alignment horizontal="justify" wrapText="1"/>
    </xf>
    <xf numFmtId="0" fontId="9" fillId="5" borderId="0" xfId="0" applyFont="1" applyFill="1" applyAlignment="1">
      <alignment horizontal="left" wrapText="1"/>
    </xf>
    <xf numFmtId="0" fontId="18" fillId="5" borderId="0" xfId="0" applyFont="1" applyFill="1" applyBorder="1" applyAlignment="1" applyProtection="1">
      <alignment horizontal="left" wrapText="1"/>
    </xf>
    <xf numFmtId="0" fontId="18" fillId="5" borderId="8" xfId="0" applyFont="1" applyFill="1" applyBorder="1" applyAlignment="1" applyProtection="1">
      <alignment horizontal="left" wrapText="1"/>
    </xf>
    <xf numFmtId="0" fontId="20" fillId="5" borderId="40" xfId="0" applyFont="1" applyFill="1" applyBorder="1" applyAlignment="1" applyProtection="1">
      <alignment horizontal="left" vertical="center" wrapText="1"/>
    </xf>
    <xf numFmtId="0" fontId="12" fillId="5" borderId="0" xfId="0" applyFont="1" applyFill="1" applyBorder="1" applyAlignment="1" applyProtection="1">
      <alignment horizontal="right" wrapText="1"/>
    </xf>
    <xf numFmtId="0" fontId="12" fillId="5" borderId="8" xfId="0" applyFont="1" applyFill="1" applyBorder="1" applyAlignment="1" applyProtection="1">
      <alignment horizontal="right" wrapText="1"/>
    </xf>
    <xf numFmtId="0" fontId="9" fillId="5" borderId="0" xfId="0" applyFont="1" applyFill="1" applyBorder="1" applyAlignment="1" applyProtection="1">
      <alignment horizontal="center"/>
    </xf>
    <xf numFmtId="0" fontId="9" fillId="5" borderId="2" xfId="0" applyFont="1" applyFill="1" applyBorder="1" applyAlignment="1" applyProtection="1">
      <alignment horizontal="center" vertical="center" wrapText="1"/>
    </xf>
    <xf numFmtId="0" fontId="9" fillId="5" borderId="6" xfId="0" applyFont="1" applyFill="1" applyBorder="1" applyAlignment="1" applyProtection="1">
      <alignment horizontal="center" vertical="center" wrapText="1"/>
    </xf>
    <xf numFmtId="0" fontId="10" fillId="5" borderId="0" xfId="0" applyFont="1" applyFill="1" applyBorder="1" applyAlignment="1" applyProtection="1">
      <alignment horizontal="center" wrapText="1"/>
    </xf>
    <xf numFmtId="0" fontId="10" fillId="5" borderId="7" xfId="0" applyFont="1" applyFill="1" applyBorder="1" applyAlignment="1" applyProtection="1">
      <alignment horizontal="center" wrapText="1"/>
    </xf>
    <xf numFmtId="0" fontId="9" fillId="5" borderId="0" xfId="0" applyFont="1" applyFill="1" applyBorder="1" applyAlignment="1" applyProtection="1">
      <alignment horizontal="center" vertical="center"/>
    </xf>
    <xf numFmtId="0" fontId="10" fillId="5" borderId="0" xfId="0" applyFont="1" applyFill="1" applyBorder="1" applyAlignment="1" applyProtection="1">
      <alignment horizontal="center"/>
    </xf>
    <xf numFmtId="0" fontId="9" fillId="5" borderId="7" xfId="0" applyFont="1" applyFill="1" applyBorder="1" applyAlignment="1" applyProtection="1">
      <alignment horizontal="center"/>
    </xf>
    <xf numFmtId="0" fontId="10" fillId="5" borderId="7" xfId="0" applyFont="1" applyFill="1" applyBorder="1" applyAlignment="1" applyProtection="1">
      <alignment horizontal="center"/>
    </xf>
    <xf numFmtId="0" fontId="10" fillId="5" borderId="2" xfId="0" applyFont="1" applyFill="1" applyBorder="1" applyAlignment="1" applyProtection="1">
      <alignment horizontal="left"/>
    </xf>
    <xf numFmtId="0" fontId="4" fillId="5" borderId="0" xfId="0" applyFont="1" applyFill="1" applyAlignment="1" applyProtection="1">
      <alignment horizontal="left" wrapText="1"/>
    </xf>
    <xf numFmtId="0" fontId="7" fillId="5" borderId="0" xfId="0" applyFont="1" applyFill="1" applyBorder="1" applyAlignment="1" applyProtection="1">
      <alignment horizontal="left" wrapText="1"/>
    </xf>
    <xf numFmtId="0" fontId="8" fillId="5" borderId="2" xfId="0" applyFont="1" applyFill="1" applyBorder="1" applyAlignment="1" applyProtection="1">
      <alignment horizontal="center" wrapText="1"/>
    </xf>
    <xf numFmtId="0" fontId="8" fillId="5" borderId="0" xfId="0" applyFont="1" applyFill="1" applyAlignment="1" applyProtection="1">
      <alignment horizontal="center" wrapText="1"/>
    </xf>
    <xf numFmtId="0" fontId="6" fillId="2" borderId="3" xfId="0" applyNumberFormat="1" applyFont="1" applyFill="1" applyBorder="1" applyAlignment="1" applyProtection="1">
      <alignment horizontal="center"/>
      <protection locked="0"/>
    </xf>
    <xf numFmtId="0" fontId="6" fillId="2" borderId="4" xfId="0" applyNumberFormat="1" applyFont="1" applyFill="1" applyBorder="1" applyAlignment="1" applyProtection="1">
      <alignment horizontal="center"/>
      <protection locked="0"/>
    </xf>
    <xf numFmtId="0" fontId="6" fillId="2" borderId="5" xfId="0" applyNumberFormat="1" applyFont="1" applyFill="1" applyBorder="1" applyAlignment="1" applyProtection="1">
      <alignment horizontal="center"/>
      <protection locked="0"/>
    </xf>
    <xf numFmtId="0" fontId="6" fillId="2" borderId="3" xfId="0" applyFont="1" applyFill="1" applyBorder="1" applyAlignment="1" applyProtection="1">
      <alignment horizontal="center"/>
      <protection locked="0"/>
    </xf>
    <xf numFmtId="0" fontId="6" fillId="2" borderId="4" xfId="0" applyFont="1" applyFill="1" applyBorder="1" applyAlignment="1" applyProtection="1">
      <alignment horizontal="center"/>
      <protection locked="0"/>
    </xf>
    <xf numFmtId="0" fontId="6" fillId="2" borderId="5" xfId="0" applyFont="1" applyFill="1" applyBorder="1" applyAlignment="1" applyProtection="1">
      <alignment horizontal="center"/>
      <protection locked="0"/>
    </xf>
    <xf numFmtId="0" fontId="10" fillId="5" borderId="2" xfId="0" applyFont="1" applyFill="1" applyBorder="1" applyAlignment="1" applyProtection="1">
      <alignment horizontal="center"/>
    </xf>
    <xf numFmtId="0" fontId="10" fillId="5" borderId="6" xfId="0" applyFont="1" applyFill="1" applyBorder="1" applyAlignment="1" applyProtection="1">
      <alignment horizontal="center"/>
    </xf>
    <xf numFmtId="0" fontId="10" fillId="5" borderId="2" xfId="0" applyFont="1" applyFill="1" applyBorder="1" applyAlignment="1" applyProtection="1">
      <alignment horizontal="center" wrapText="1"/>
    </xf>
    <xf numFmtId="0" fontId="10" fillId="5" borderId="6" xfId="0" applyFont="1" applyFill="1" applyBorder="1" applyAlignment="1" applyProtection="1">
      <alignment horizontal="center" wrapText="1"/>
    </xf>
    <xf numFmtId="0" fontId="52" fillId="5" borderId="0" xfId="0" applyFont="1" applyFill="1" applyAlignment="1" applyProtection="1">
      <alignment horizontal="left" vertical="center" wrapText="1"/>
    </xf>
    <xf numFmtId="166" fontId="0" fillId="8" borderId="0" xfId="0" applyNumberFormat="1" applyFill="1" applyBorder="1" applyAlignment="1">
      <alignment horizontal="center"/>
    </xf>
    <xf numFmtId="166" fontId="0" fillId="8" borderId="29" xfId="0" applyNumberFormat="1" applyFill="1" applyBorder="1" applyAlignment="1">
      <alignment horizontal="center"/>
    </xf>
    <xf numFmtId="44" fontId="0" fillId="8" borderId="0" xfId="0" applyNumberFormat="1" applyFill="1" applyBorder="1" applyAlignment="1">
      <alignment horizontal="center"/>
    </xf>
    <xf numFmtId="44" fontId="0" fillId="8" borderId="29" xfId="0" applyNumberFormat="1" applyFill="1" applyBorder="1" applyAlignment="1">
      <alignment horizontal="center"/>
    </xf>
    <xf numFmtId="0" fontId="0" fillId="0" borderId="0" xfId="0" applyAlignment="1">
      <alignment horizontal="left" wrapText="1"/>
    </xf>
  </cellXfs>
  <cellStyles count="6">
    <cellStyle name="Lien hypertexte" xfId="5" builtinId="8"/>
    <cellStyle name="Milliers" xfId="1" builtinId="3"/>
    <cellStyle name="Monétaire" xfId="2" builtinId="4"/>
    <cellStyle name="Normal" xfId="0" builtinId="0"/>
    <cellStyle name="Pourcentage" xfId="3" builtinId="5"/>
    <cellStyle name="Pourcentage 2 6" xfId="4" xr:uid="{00000000-0005-0000-0000-000005000000}"/>
  </cellStyles>
  <dxfs count="14">
    <dxf>
      <numFmt numFmtId="13" formatCode="0%"/>
    </dxf>
    <dxf>
      <numFmt numFmtId="13" formatCode="0%"/>
    </dxf>
    <dxf>
      <numFmt numFmtId="13" formatCode="0%"/>
    </dxf>
    <dxf>
      <numFmt numFmtId="13" formatCode="0%"/>
    </dxf>
    <dxf>
      <numFmt numFmtId="13" formatCode="0%"/>
    </dxf>
    <dxf>
      <numFmt numFmtId="13" formatCode="0%"/>
    </dxf>
    <dxf>
      <numFmt numFmtId="13" formatCode="0%"/>
    </dxf>
    <dxf>
      <numFmt numFmtId="13" formatCode="0%"/>
    </dxf>
    <dxf>
      <numFmt numFmtId="13" formatCode="0%"/>
    </dxf>
    <dxf>
      <numFmt numFmtId="13" formatCode="0%"/>
    </dxf>
    <dxf>
      <numFmt numFmtId="13" formatCode="0%"/>
    </dxf>
    <dxf>
      <numFmt numFmtId="13" formatCode="0%"/>
    </dxf>
    <dxf>
      <numFmt numFmtId="13" formatCode="0%"/>
    </dxf>
    <dxf>
      <numFmt numFmtId="13" formatCode="0%"/>
    </dxf>
  </dxfs>
  <tableStyles count="0" defaultTableStyle="TableStyleMedium2" defaultPivotStyle="PivotStyleLight16"/>
  <colors>
    <mruColors>
      <color rgb="FF37B94B"/>
      <color rgb="FFE8E8E8"/>
      <color rgb="FFC91F0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5</xdr:col>
      <xdr:colOff>381000</xdr:colOff>
      <xdr:row>0</xdr:row>
      <xdr:rowOff>0</xdr:rowOff>
    </xdr:from>
    <xdr:to>
      <xdr:col>8</xdr:col>
      <xdr:colOff>762000</xdr:colOff>
      <xdr:row>5</xdr:row>
      <xdr:rowOff>141582</xdr:rowOff>
    </xdr:to>
    <xdr:pic>
      <xdr:nvPicPr>
        <xdr:cNvPr id="2" name="Imag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981450" y="0"/>
          <a:ext cx="2895600" cy="121790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9525</xdr:colOff>
      <xdr:row>0</xdr:row>
      <xdr:rowOff>0</xdr:rowOff>
    </xdr:from>
    <xdr:to>
      <xdr:col>11</xdr:col>
      <xdr:colOff>19050</xdr:colOff>
      <xdr:row>4</xdr:row>
      <xdr:rowOff>170157</xdr:rowOff>
    </xdr:to>
    <xdr:pic>
      <xdr:nvPicPr>
        <xdr:cNvPr id="3" name="Imag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33925" y="0"/>
          <a:ext cx="2895600" cy="121790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1123950</xdr:colOff>
      <xdr:row>0</xdr:row>
      <xdr:rowOff>0</xdr:rowOff>
    </xdr:from>
    <xdr:to>
      <xdr:col>11</xdr:col>
      <xdr:colOff>0</xdr:colOff>
      <xdr:row>2</xdr:row>
      <xdr:rowOff>683525</xdr:rowOff>
    </xdr:to>
    <xdr:pic>
      <xdr:nvPicPr>
        <xdr:cNvPr id="2" name="Imag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77000" y="0"/>
          <a:ext cx="2847975" cy="119787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2238375</xdr:colOff>
      <xdr:row>0</xdr:row>
      <xdr:rowOff>57150</xdr:rowOff>
    </xdr:from>
    <xdr:to>
      <xdr:col>3</xdr:col>
      <xdr:colOff>19050</xdr:colOff>
      <xdr:row>4</xdr:row>
      <xdr:rowOff>188225</xdr:rowOff>
    </xdr:to>
    <xdr:pic>
      <xdr:nvPicPr>
        <xdr:cNvPr id="3" name="Image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362450" y="57150"/>
          <a:ext cx="2847975" cy="119787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oneCellAnchor>
    <xdr:from>
      <xdr:col>2</xdr:col>
      <xdr:colOff>809625</xdr:colOff>
      <xdr:row>198</xdr:row>
      <xdr:rowOff>0</xdr:rowOff>
    </xdr:from>
    <xdr:ext cx="184731" cy="264560"/>
    <xdr:sp macro="" textlink="">
      <xdr:nvSpPr>
        <xdr:cNvPr id="5" name="ZoneTexte 4">
          <a:extLst>
            <a:ext uri="{FF2B5EF4-FFF2-40B4-BE49-F238E27FC236}">
              <a16:creationId xmlns:a16="http://schemas.microsoft.com/office/drawing/2014/main" id="{00000000-0008-0000-0400-000005000000}"/>
            </a:ext>
          </a:extLst>
        </xdr:cNvPr>
        <xdr:cNvSpPr txBox="1"/>
      </xdr:nvSpPr>
      <xdr:spPr>
        <a:xfrm>
          <a:off x="1390650" y="36099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fr-CA" sz="1100"/>
        </a:p>
      </xdr:txBody>
    </xdr:sp>
    <xdr:clientData/>
  </xdr:oneCellAnchor>
  <xdr:oneCellAnchor>
    <xdr:from>
      <xdr:col>0</xdr:col>
      <xdr:colOff>130969</xdr:colOff>
      <xdr:row>212</xdr:row>
      <xdr:rowOff>0</xdr:rowOff>
    </xdr:from>
    <xdr:ext cx="184731" cy="264560"/>
    <xdr:sp macro="" textlink="">
      <xdr:nvSpPr>
        <xdr:cNvPr id="6" name="ZoneTexte 5">
          <a:extLst>
            <a:ext uri="{FF2B5EF4-FFF2-40B4-BE49-F238E27FC236}">
              <a16:creationId xmlns:a16="http://schemas.microsoft.com/office/drawing/2014/main" id="{00000000-0008-0000-0400-000006000000}"/>
            </a:ext>
          </a:extLst>
        </xdr:cNvPr>
        <xdr:cNvSpPr txBox="1"/>
      </xdr:nvSpPr>
      <xdr:spPr>
        <a:xfrm>
          <a:off x="130969" y="4190523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fr-CA" sz="1100"/>
        </a:p>
      </xdr:txBody>
    </xdr:sp>
    <xdr:clientData/>
  </xdr:oneCellAnchor>
  <xdr:twoCellAnchor>
    <xdr:from>
      <xdr:col>1</xdr:col>
      <xdr:colOff>0</xdr:colOff>
      <xdr:row>2</xdr:row>
      <xdr:rowOff>76200</xdr:rowOff>
    </xdr:from>
    <xdr:to>
      <xdr:col>14</xdr:col>
      <xdr:colOff>9525</xdr:colOff>
      <xdr:row>2</xdr:row>
      <xdr:rowOff>549094</xdr:rowOff>
    </xdr:to>
    <xdr:sp macro="" textlink="">
      <xdr:nvSpPr>
        <xdr:cNvPr id="8" name="ZoneTexte 7">
          <a:extLst>
            <a:ext uri="{FF2B5EF4-FFF2-40B4-BE49-F238E27FC236}">
              <a16:creationId xmlns:a16="http://schemas.microsoft.com/office/drawing/2014/main" id="{00000000-0008-0000-0400-000008000000}"/>
            </a:ext>
          </a:extLst>
        </xdr:cNvPr>
        <xdr:cNvSpPr txBox="1"/>
      </xdr:nvSpPr>
      <xdr:spPr>
        <a:xfrm>
          <a:off x="171450" y="676275"/>
          <a:ext cx="7981950" cy="472894"/>
        </a:xfrm>
        <a:prstGeom prst="rect">
          <a:avLst/>
        </a:prstGeom>
        <a:solidFill>
          <a:srgbClr val="C91F0D"/>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r>
            <a:rPr lang="fr-CA" sz="2000" b="0">
              <a:solidFill>
                <a:schemeClr val="bg1"/>
              </a:solidFill>
              <a:effectLst>
                <a:outerShdw blurRad="50800" dist="38100" dir="5400000" algn="t" rotWithShape="0">
                  <a:prstClr val="black">
                    <a:alpha val="40000"/>
                  </a:prstClr>
                </a:outerShdw>
              </a:effectLst>
              <a:latin typeface="Century Gothic" panose="020B0502020202020204" pitchFamily="34" charset="0"/>
            </a:rPr>
            <a:t>Coût de production 2018 détaillé</a:t>
          </a:r>
        </a:p>
      </xdr:txBody>
    </xdr:sp>
    <xdr:clientData/>
  </xdr:twoCellAnchor>
  <xdr:twoCellAnchor>
    <xdr:from>
      <xdr:col>15</xdr:col>
      <xdr:colOff>1</xdr:colOff>
      <xdr:row>2</xdr:row>
      <xdr:rowOff>66675</xdr:rowOff>
    </xdr:from>
    <xdr:to>
      <xdr:col>20</xdr:col>
      <xdr:colOff>1</xdr:colOff>
      <xdr:row>2</xdr:row>
      <xdr:rowOff>539569</xdr:rowOff>
    </xdr:to>
    <xdr:sp macro="" textlink="">
      <xdr:nvSpPr>
        <xdr:cNvPr id="9" name="ZoneTexte 8">
          <a:extLst>
            <a:ext uri="{FF2B5EF4-FFF2-40B4-BE49-F238E27FC236}">
              <a16:creationId xmlns:a16="http://schemas.microsoft.com/office/drawing/2014/main" id="{00000000-0008-0000-0400-000009000000}"/>
            </a:ext>
          </a:extLst>
        </xdr:cNvPr>
        <xdr:cNvSpPr txBox="1"/>
      </xdr:nvSpPr>
      <xdr:spPr>
        <a:xfrm>
          <a:off x="8267701" y="266700"/>
          <a:ext cx="4191000" cy="472894"/>
        </a:xfrm>
        <a:prstGeom prst="rect">
          <a:avLst/>
        </a:prstGeom>
        <a:solidFill>
          <a:srgbClr val="FFC000"/>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fr-CA" sz="2000" b="0">
              <a:solidFill>
                <a:schemeClr val="bg1"/>
              </a:solidFill>
              <a:effectLst>
                <a:outerShdw blurRad="50800" dist="38100" dir="5400000" algn="t" rotWithShape="0">
                  <a:prstClr val="black">
                    <a:alpha val="40000"/>
                  </a:prstClr>
                </a:outerShdw>
              </a:effectLst>
              <a:latin typeface="Century Gothic" panose="020B0502020202020204" pitchFamily="34" charset="0"/>
            </a:rPr>
            <a:t>2019 détaillé</a:t>
          </a:r>
        </a:p>
      </xdr:txBody>
    </xdr:sp>
    <xdr:clientData/>
  </xdr:twoCellAnchor>
  <xdr:twoCellAnchor>
    <xdr:from>
      <xdr:col>21</xdr:col>
      <xdr:colOff>9525</xdr:colOff>
      <xdr:row>2</xdr:row>
      <xdr:rowOff>66675</xdr:rowOff>
    </xdr:from>
    <xdr:to>
      <xdr:col>26</xdr:col>
      <xdr:colOff>0</xdr:colOff>
      <xdr:row>2</xdr:row>
      <xdr:rowOff>539569</xdr:rowOff>
    </xdr:to>
    <xdr:sp macro="" textlink="">
      <xdr:nvSpPr>
        <xdr:cNvPr id="10" name="ZoneTexte 9">
          <a:extLst>
            <a:ext uri="{FF2B5EF4-FFF2-40B4-BE49-F238E27FC236}">
              <a16:creationId xmlns:a16="http://schemas.microsoft.com/office/drawing/2014/main" id="{00000000-0008-0000-0400-00000A000000}"/>
            </a:ext>
          </a:extLst>
        </xdr:cNvPr>
        <xdr:cNvSpPr txBox="1"/>
      </xdr:nvSpPr>
      <xdr:spPr>
        <a:xfrm>
          <a:off x="12592050" y="266700"/>
          <a:ext cx="4181475" cy="472894"/>
        </a:xfrm>
        <a:prstGeom prst="rect">
          <a:avLst/>
        </a:prstGeom>
        <a:solidFill>
          <a:srgbClr val="92D050"/>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fr-CA" sz="2000" b="0">
              <a:solidFill>
                <a:schemeClr val="bg1"/>
              </a:solidFill>
              <a:effectLst>
                <a:outerShdw blurRad="50800" dist="38100" dir="5400000" algn="t" rotWithShape="0">
                  <a:prstClr val="black">
                    <a:alpha val="40000"/>
                  </a:prstClr>
                </a:outerShdw>
              </a:effectLst>
              <a:latin typeface="Century Gothic" panose="020B0502020202020204" pitchFamily="34" charset="0"/>
            </a:rPr>
            <a:t>2020 détaillé</a:t>
          </a:r>
        </a:p>
      </xdr:txBody>
    </xdr:sp>
    <xdr:clientData/>
  </xdr:twoCellAnchor>
  <xdr:twoCellAnchor>
    <xdr:from>
      <xdr:col>27</xdr:col>
      <xdr:colOff>9525</xdr:colOff>
      <xdr:row>2</xdr:row>
      <xdr:rowOff>76200</xdr:rowOff>
    </xdr:from>
    <xdr:to>
      <xdr:col>32</xdr:col>
      <xdr:colOff>0</xdr:colOff>
      <xdr:row>2</xdr:row>
      <xdr:rowOff>549094</xdr:rowOff>
    </xdr:to>
    <xdr:sp macro="" textlink="">
      <xdr:nvSpPr>
        <xdr:cNvPr id="11" name="ZoneTexte 10">
          <a:extLst>
            <a:ext uri="{FF2B5EF4-FFF2-40B4-BE49-F238E27FC236}">
              <a16:creationId xmlns:a16="http://schemas.microsoft.com/office/drawing/2014/main" id="{00000000-0008-0000-0400-00000B000000}"/>
            </a:ext>
          </a:extLst>
        </xdr:cNvPr>
        <xdr:cNvSpPr txBox="1"/>
      </xdr:nvSpPr>
      <xdr:spPr>
        <a:xfrm>
          <a:off x="16906875" y="276225"/>
          <a:ext cx="4181475" cy="472894"/>
        </a:xfrm>
        <a:prstGeom prst="rect">
          <a:avLst/>
        </a:prstGeom>
        <a:solidFill>
          <a:srgbClr val="00B050"/>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fr-CA" sz="2000" b="0">
              <a:solidFill>
                <a:schemeClr val="bg1"/>
              </a:solidFill>
              <a:effectLst>
                <a:outerShdw blurRad="50800" dist="38100" dir="5400000" algn="t" rotWithShape="0">
                  <a:prstClr val="black">
                    <a:alpha val="40000"/>
                  </a:prstClr>
                </a:outerShdw>
              </a:effectLst>
              <a:latin typeface="Century Gothic" panose="020B0502020202020204" pitchFamily="34" charset="0"/>
            </a:rPr>
            <a:t>2021 détaillé</a:t>
          </a:r>
        </a:p>
      </xdr:txBody>
    </xdr:sp>
    <xdr:clientData/>
  </xdr:twoCellAnchor>
  <xdr:twoCellAnchor>
    <xdr:from>
      <xdr:col>33</xdr:col>
      <xdr:colOff>9525</xdr:colOff>
      <xdr:row>2</xdr:row>
      <xdr:rowOff>57150</xdr:rowOff>
    </xdr:from>
    <xdr:to>
      <xdr:col>38</xdr:col>
      <xdr:colOff>0</xdr:colOff>
      <xdr:row>2</xdr:row>
      <xdr:rowOff>530044</xdr:rowOff>
    </xdr:to>
    <xdr:sp macro="" textlink="">
      <xdr:nvSpPr>
        <xdr:cNvPr id="12" name="ZoneTexte 11">
          <a:extLst>
            <a:ext uri="{FF2B5EF4-FFF2-40B4-BE49-F238E27FC236}">
              <a16:creationId xmlns:a16="http://schemas.microsoft.com/office/drawing/2014/main" id="{00000000-0008-0000-0400-00000C000000}"/>
            </a:ext>
          </a:extLst>
        </xdr:cNvPr>
        <xdr:cNvSpPr txBox="1"/>
      </xdr:nvSpPr>
      <xdr:spPr>
        <a:xfrm>
          <a:off x="21221700" y="257175"/>
          <a:ext cx="4181475" cy="472894"/>
        </a:xfrm>
        <a:prstGeom prst="rect">
          <a:avLst/>
        </a:prstGeom>
        <a:solidFill>
          <a:srgbClr val="00B0F0"/>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fr-CA" sz="2000" b="0">
              <a:solidFill>
                <a:schemeClr val="bg1"/>
              </a:solidFill>
              <a:effectLst>
                <a:outerShdw blurRad="50800" dist="38100" dir="5400000" algn="t" rotWithShape="0">
                  <a:prstClr val="black">
                    <a:alpha val="40000"/>
                  </a:prstClr>
                </a:outerShdw>
              </a:effectLst>
              <a:latin typeface="Century Gothic" panose="020B0502020202020204" pitchFamily="34" charset="0"/>
            </a:rPr>
            <a:t>2022 détaillé</a:t>
          </a:r>
        </a:p>
      </xdr:txBody>
    </xdr:sp>
    <xdr:clientData/>
  </xdr:twoCellAnchor>
  <xdr:twoCellAnchor>
    <xdr:from>
      <xdr:col>39</xdr:col>
      <xdr:colOff>9525</xdr:colOff>
      <xdr:row>2</xdr:row>
      <xdr:rowOff>76200</xdr:rowOff>
    </xdr:from>
    <xdr:to>
      <xdr:col>44</xdr:col>
      <xdr:colOff>0</xdr:colOff>
      <xdr:row>2</xdr:row>
      <xdr:rowOff>549094</xdr:rowOff>
    </xdr:to>
    <xdr:sp macro="" textlink="">
      <xdr:nvSpPr>
        <xdr:cNvPr id="13" name="ZoneTexte 12">
          <a:extLst>
            <a:ext uri="{FF2B5EF4-FFF2-40B4-BE49-F238E27FC236}">
              <a16:creationId xmlns:a16="http://schemas.microsoft.com/office/drawing/2014/main" id="{00000000-0008-0000-0400-00000D000000}"/>
            </a:ext>
          </a:extLst>
        </xdr:cNvPr>
        <xdr:cNvSpPr txBox="1"/>
      </xdr:nvSpPr>
      <xdr:spPr>
        <a:xfrm>
          <a:off x="25536525" y="276225"/>
          <a:ext cx="4181475" cy="472894"/>
        </a:xfrm>
        <a:prstGeom prst="rect">
          <a:avLst/>
        </a:prstGeom>
        <a:solidFill>
          <a:srgbClr val="0070C0"/>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fr-CA" sz="2000" b="0">
              <a:solidFill>
                <a:schemeClr val="bg1"/>
              </a:solidFill>
              <a:effectLst>
                <a:outerShdw blurRad="50800" dist="38100" dir="5400000" algn="t" rotWithShape="0">
                  <a:prstClr val="black">
                    <a:alpha val="40000"/>
                  </a:prstClr>
                </a:outerShdw>
              </a:effectLst>
              <a:latin typeface="Century Gothic" panose="020B0502020202020204" pitchFamily="34" charset="0"/>
            </a:rPr>
            <a:t>2023 détaillé</a:t>
          </a: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cecpa.qc.ca/?rub=2&amp;typeProduction=10&amp;typeRapport=&amp;datePublication=&amp;utm_source=excel"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dimension ref="A2:J35"/>
  <sheetViews>
    <sheetView tabSelected="1" workbookViewId="0">
      <selection activeCell="L24" sqref="L24"/>
    </sheetView>
  </sheetViews>
  <sheetFormatPr baseColWidth="10" defaultRowHeight="16.5"/>
  <cols>
    <col min="1" max="1" width="3.25" style="204" customWidth="1"/>
    <col min="2" max="9" width="11" style="204"/>
    <col min="10" max="10" width="2" style="204" customWidth="1"/>
    <col min="11" max="16384" width="11" style="207"/>
  </cols>
  <sheetData>
    <row r="2" spans="2:9" ht="18.75">
      <c r="B2" s="205" t="s">
        <v>89</v>
      </c>
      <c r="C2" s="206"/>
      <c r="D2" s="206"/>
      <c r="E2" s="206"/>
      <c r="F2" s="206"/>
      <c r="G2" s="206"/>
      <c r="H2" s="206"/>
      <c r="I2" s="206"/>
    </row>
    <row r="3" spans="2:9">
      <c r="B3" s="206"/>
      <c r="C3" s="206"/>
      <c r="D3" s="206"/>
      <c r="E3" s="206"/>
      <c r="F3" s="206"/>
      <c r="G3" s="206"/>
      <c r="H3" s="206"/>
      <c r="I3" s="206"/>
    </row>
    <row r="4" spans="2:9">
      <c r="B4" s="206"/>
      <c r="C4" s="206"/>
      <c r="D4" s="206"/>
      <c r="E4" s="206"/>
      <c r="F4" s="206"/>
      <c r="G4" s="206"/>
      <c r="H4" s="206"/>
      <c r="I4" s="206"/>
    </row>
    <row r="5" spans="2:9">
      <c r="C5" s="208"/>
      <c r="D5" s="208"/>
      <c r="E5" s="208"/>
      <c r="F5" s="208"/>
      <c r="G5" s="208"/>
      <c r="H5" s="208"/>
      <c r="I5" s="206"/>
    </row>
    <row r="6" spans="2:9">
      <c r="C6" s="208"/>
      <c r="D6" s="208"/>
      <c r="E6" s="208"/>
      <c r="F6" s="208"/>
      <c r="G6" s="208"/>
      <c r="H6" s="208"/>
      <c r="I6" s="206"/>
    </row>
    <row r="7" spans="2:9">
      <c r="B7" s="208" t="s">
        <v>90</v>
      </c>
    </row>
    <row r="8" spans="2:9" ht="33" customHeight="1">
      <c r="B8" s="602" t="s">
        <v>270</v>
      </c>
      <c r="C8" s="603"/>
      <c r="D8" s="603"/>
      <c r="E8" s="603"/>
      <c r="F8" s="603"/>
      <c r="G8" s="603"/>
      <c r="H8" s="603"/>
      <c r="I8" s="603"/>
    </row>
    <row r="9" spans="2:9">
      <c r="B9" s="391"/>
      <c r="C9" s="391"/>
      <c r="D9" s="391"/>
      <c r="E9" s="391"/>
      <c r="F9" s="391"/>
      <c r="G9" s="391"/>
      <c r="H9" s="391"/>
      <c r="I9" s="391"/>
    </row>
    <row r="10" spans="2:9">
      <c r="B10" s="209" t="s">
        <v>91</v>
      </c>
      <c r="C10" s="392"/>
      <c r="D10" s="392"/>
      <c r="E10" s="392"/>
      <c r="F10" s="392"/>
      <c r="G10" s="392"/>
      <c r="H10" s="392"/>
      <c r="I10" s="392"/>
    </row>
    <row r="11" spans="2:9">
      <c r="B11" s="209"/>
      <c r="C11" s="392"/>
      <c r="D11" s="392"/>
      <c r="E11" s="392"/>
      <c r="F11" s="392"/>
      <c r="G11" s="392"/>
      <c r="H11" s="392"/>
      <c r="I11" s="392"/>
    </row>
    <row r="12" spans="2:9" ht="48" customHeight="1">
      <c r="B12" s="604" t="s">
        <v>271</v>
      </c>
      <c r="C12" s="605"/>
      <c r="D12" s="605"/>
      <c r="E12" s="605"/>
      <c r="F12" s="605"/>
      <c r="G12" s="605"/>
      <c r="H12" s="605"/>
      <c r="I12" s="605"/>
    </row>
    <row r="13" spans="2:9">
      <c r="B13" s="392"/>
      <c r="C13" s="392"/>
      <c r="D13" s="392"/>
      <c r="E13" s="392"/>
      <c r="F13" s="392"/>
      <c r="G13" s="392"/>
      <c r="H13" s="392"/>
      <c r="I13" s="392"/>
    </row>
    <row r="14" spans="2:9" ht="30" customHeight="1">
      <c r="B14" s="603" t="s">
        <v>92</v>
      </c>
      <c r="C14" s="603"/>
      <c r="D14" s="603"/>
      <c r="E14" s="603"/>
      <c r="F14" s="603"/>
      <c r="G14" s="603"/>
      <c r="H14" s="603"/>
      <c r="I14" s="603"/>
    </row>
    <row r="15" spans="2:9">
      <c r="B15" s="206"/>
      <c r="C15" s="206"/>
      <c r="D15" s="206"/>
      <c r="E15" s="206"/>
      <c r="F15" s="206"/>
      <c r="G15" s="206"/>
      <c r="H15" s="206"/>
      <c r="I15" s="206"/>
    </row>
    <row r="16" spans="2:9">
      <c r="B16" s="606" t="s">
        <v>93</v>
      </c>
      <c r="C16" s="606"/>
      <c r="D16" s="606"/>
      <c r="E16" s="606"/>
      <c r="F16" s="606"/>
      <c r="G16" s="606"/>
      <c r="H16" s="606"/>
      <c r="I16" s="606"/>
    </row>
    <row r="17" spans="1:10">
      <c r="B17" s="606"/>
      <c r="C17" s="606"/>
      <c r="D17" s="606"/>
      <c r="E17" s="606"/>
      <c r="F17" s="606"/>
      <c r="G17" s="606"/>
      <c r="H17" s="606"/>
      <c r="I17" s="606"/>
    </row>
    <row r="18" spans="1:10">
      <c r="B18" s="206"/>
      <c r="C18" s="206"/>
      <c r="D18" s="206"/>
      <c r="E18" s="206"/>
      <c r="F18" s="206"/>
      <c r="G18" s="206"/>
      <c r="H18" s="206"/>
      <c r="I18" s="206"/>
    </row>
    <row r="19" spans="1:10">
      <c r="B19" s="209" t="s">
        <v>94</v>
      </c>
      <c r="C19" s="210"/>
      <c r="D19" s="210"/>
      <c r="E19" s="210"/>
      <c r="F19" s="210"/>
      <c r="G19" s="210"/>
      <c r="H19" s="210"/>
      <c r="I19" s="210"/>
    </row>
    <row r="20" spans="1:10">
      <c r="B20" s="211"/>
      <c r="C20" s="212"/>
      <c r="D20" s="212"/>
      <c r="E20" s="212"/>
      <c r="F20" s="212"/>
      <c r="G20" s="212"/>
      <c r="H20" s="212"/>
      <c r="I20" s="212"/>
    </row>
    <row r="21" spans="1:10" ht="57" customHeight="1">
      <c r="B21" s="608" t="s">
        <v>258</v>
      </c>
      <c r="C21" s="608"/>
      <c r="D21" s="608"/>
      <c r="E21" s="608"/>
      <c r="F21" s="608"/>
      <c r="G21" s="608"/>
      <c r="H21" s="608"/>
      <c r="I21" s="608"/>
    </row>
    <row r="22" spans="1:10" ht="69" customHeight="1">
      <c r="B22" s="608" t="s">
        <v>257</v>
      </c>
      <c r="C22" s="608"/>
      <c r="D22" s="608"/>
      <c r="E22" s="608"/>
      <c r="F22" s="608"/>
      <c r="G22" s="608"/>
      <c r="H22" s="608"/>
      <c r="I22" s="608"/>
    </row>
    <row r="23" spans="1:10">
      <c r="B23" s="393"/>
      <c r="C23" s="393"/>
      <c r="D23" s="393"/>
      <c r="E23" s="393"/>
      <c r="F23" s="393"/>
      <c r="G23" s="393"/>
      <c r="H23" s="393"/>
      <c r="I23" s="393"/>
    </row>
    <row r="24" spans="1:10">
      <c r="B24" s="607" t="s">
        <v>95</v>
      </c>
      <c r="C24" s="607"/>
      <c r="D24" s="607"/>
      <c r="E24" s="607"/>
      <c r="F24" s="607"/>
      <c r="G24" s="607"/>
      <c r="H24" s="607"/>
      <c r="I24" s="607"/>
    </row>
    <row r="25" spans="1:10">
      <c r="B25" s="607"/>
      <c r="C25" s="607"/>
      <c r="D25" s="607"/>
      <c r="E25" s="607"/>
      <c r="F25" s="607"/>
      <c r="G25" s="607"/>
      <c r="H25" s="607"/>
      <c r="I25" s="607"/>
    </row>
    <row r="26" spans="1:10">
      <c r="B26" s="393"/>
      <c r="C26" s="393"/>
      <c r="D26" s="393"/>
      <c r="E26" s="393"/>
      <c r="F26" s="393"/>
      <c r="G26" s="393"/>
      <c r="H26" s="393"/>
      <c r="I26" s="393"/>
    </row>
    <row r="27" spans="1:10">
      <c r="B27" s="393" t="s">
        <v>96</v>
      </c>
      <c r="C27" s="393"/>
      <c r="D27" s="393"/>
      <c r="E27" s="393"/>
      <c r="F27" s="393"/>
      <c r="G27" s="393"/>
      <c r="H27" s="393"/>
      <c r="I27" s="393"/>
    </row>
    <row r="28" spans="1:10">
      <c r="B28" s="393"/>
      <c r="C28" s="393"/>
      <c r="D28" s="393"/>
      <c r="E28" s="393"/>
      <c r="F28" s="393"/>
      <c r="G28" s="393"/>
      <c r="H28" s="393"/>
      <c r="I28" s="393"/>
    </row>
    <row r="29" spans="1:10" ht="48.75" customHeight="1">
      <c r="B29" s="599" t="s">
        <v>99</v>
      </c>
      <c r="C29" s="599"/>
      <c r="D29" s="599"/>
      <c r="E29" s="599"/>
      <c r="F29" s="599"/>
      <c r="G29" s="599"/>
      <c r="H29" s="599"/>
      <c r="I29" s="599"/>
    </row>
    <row r="30" spans="1:10">
      <c r="B30" s="213"/>
      <c r="C30" s="393"/>
      <c r="D30" s="393"/>
      <c r="E30" s="393"/>
      <c r="F30" s="393"/>
      <c r="G30" s="393"/>
      <c r="H30" s="393"/>
      <c r="I30" s="393"/>
    </row>
    <row r="31" spans="1:10" ht="34.5" customHeight="1">
      <c r="A31" s="214"/>
      <c r="B31" s="600" t="s">
        <v>172</v>
      </c>
      <c r="C31" s="600"/>
      <c r="D31" s="600"/>
      <c r="E31" s="600"/>
      <c r="F31" s="600"/>
      <c r="G31" s="600"/>
      <c r="H31" s="600"/>
      <c r="I31" s="600"/>
      <c r="J31" s="214"/>
    </row>
    <row r="32" spans="1:10">
      <c r="B32" s="215"/>
      <c r="C32" s="216"/>
      <c r="D32" s="216"/>
      <c r="E32" s="216"/>
      <c r="F32" s="216"/>
      <c r="G32" s="216"/>
      <c r="H32" s="216"/>
      <c r="I32" s="216"/>
    </row>
    <row r="33" spans="2:9">
      <c r="B33" s="601" t="s">
        <v>97</v>
      </c>
      <c r="C33" s="601"/>
      <c r="D33" s="601"/>
      <c r="E33" s="601"/>
      <c r="F33" s="601"/>
      <c r="G33" s="601"/>
      <c r="H33" s="601"/>
      <c r="I33" s="601"/>
    </row>
    <row r="34" spans="2:9">
      <c r="B34" s="216"/>
      <c r="C34" s="216"/>
      <c r="D34" s="216"/>
      <c r="E34" s="216"/>
      <c r="F34" s="216"/>
      <c r="G34" s="216"/>
      <c r="H34" s="216"/>
      <c r="I34" s="216"/>
    </row>
    <row r="35" spans="2:9">
      <c r="B35" s="601" t="s">
        <v>98</v>
      </c>
      <c r="C35" s="601"/>
      <c r="D35" s="601"/>
      <c r="E35" s="216"/>
      <c r="F35" s="216"/>
      <c r="G35" s="216"/>
      <c r="H35" s="216"/>
      <c r="I35" s="216"/>
    </row>
  </sheetData>
  <sheetProtection selectLockedCells="1" selectUnlockedCells="1"/>
  <mergeCells count="11">
    <mergeCell ref="B29:I29"/>
    <mergeCell ref="B31:I31"/>
    <mergeCell ref="B33:I33"/>
    <mergeCell ref="B35:D35"/>
    <mergeCell ref="B8:I8"/>
    <mergeCell ref="B12:I12"/>
    <mergeCell ref="B14:I14"/>
    <mergeCell ref="B16:I17"/>
    <mergeCell ref="B24:I25"/>
    <mergeCell ref="B21:I21"/>
    <mergeCell ref="B22:I22"/>
  </mergeCells>
  <hyperlinks>
    <hyperlink ref="B31:I31" r:id="rId1" location="liste" display="Consultez le rapport de notre étude sur le coût de production pour en connaître les méthodologies et obtenir plus d'information sur les résultats." xr:uid="{00000000-0004-0000-0000-000000000000}"/>
  </hyperlink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2"/>
  <dimension ref="B1:M227"/>
  <sheetViews>
    <sheetView topLeftCell="A18" workbookViewId="0"/>
  </sheetViews>
  <sheetFormatPr baseColWidth="10" defaultRowHeight="14.25" outlineLevelRow="2"/>
  <cols>
    <col min="1" max="1" width="1.625" style="430" customWidth="1"/>
    <col min="2" max="3" width="22.625" style="430" customWidth="1"/>
    <col min="4" max="4" width="1.625" style="430" customWidth="1"/>
    <col min="5" max="5" width="11.875" style="430" bestFit="1" customWidth="1"/>
    <col min="6" max="6" width="1.625" style="430" customWidth="1"/>
    <col min="7" max="7" width="12.375" style="430" bestFit="1" customWidth="1"/>
    <col min="8" max="8" width="1.625" style="430" customWidth="1"/>
    <col min="9" max="9" width="11.125" style="430" bestFit="1" customWidth="1"/>
    <col min="10" max="10" width="1.625" style="430" customWidth="1"/>
    <col min="11" max="11" width="11.125" style="430" bestFit="1" customWidth="1"/>
    <col min="12" max="12" width="1.625" style="430" customWidth="1"/>
    <col min="13" max="13" width="11" style="430"/>
    <col min="14" max="14" width="1.625" style="430" customWidth="1"/>
    <col min="15" max="16384" width="11" style="430"/>
  </cols>
  <sheetData>
    <row r="1" spans="2:13" ht="16.5">
      <c r="B1" s="228" t="s">
        <v>100</v>
      </c>
      <c r="C1" s="228"/>
      <c r="D1" s="428"/>
      <c r="E1" s="428"/>
      <c r="F1" s="428"/>
      <c r="G1" s="428"/>
      <c r="H1" s="428"/>
      <c r="I1" s="428"/>
      <c r="J1" s="429"/>
      <c r="K1" s="428"/>
      <c r="L1" s="429"/>
      <c r="M1" s="428"/>
    </row>
    <row r="2" spans="2:13" ht="16.5">
      <c r="B2" s="431"/>
      <c r="C2" s="431"/>
      <c r="D2" s="428"/>
      <c r="E2" s="428"/>
      <c r="F2" s="428"/>
      <c r="G2" s="428"/>
      <c r="H2" s="428"/>
      <c r="I2" s="428"/>
      <c r="J2" s="429"/>
      <c r="K2" s="428"/>
      <c r="L2" s="429"/>
      <c r="M2" s="428"/>
    </row>
    <row r="3" spans="2:13" ht="34.5">
      <c r="B3" s="432" t="s">
        <v>276</v>
      </c>
      <c r="C3" s="432"/>
      <c r="D3" s="227"/>
      <c r="E3" s="228"/>
      <c r="F3" s="227"/>
      <c r="G3" s="228"/>
      <c r="H3" s="228"/>
      <c r="I3" s="228"/>
      <c r="J3" s="231"/>
      <c r="K3" s="228"/>
      <c r="L3" s="231"/>
      <c r="M3" s="228"/>
    </row>
    <row r="4" spans="2:13" ht="15">
      <c r="B4" s="231"/>
      <c r="C4" s="231"/>
      <c r="D4" s="231"/>
      <c r="E4" s="231"/>
      <c r="F4" s="231"/>
      <c r="G4" s="231"/>
      <c r="H4" s="231"/>
      <c r="I4" s="231"/>
      <c r="J4" s="231"/>
      <c r="K4" s="231"/>
      <c r="L4" s="231"/>
      <c r="M4" s="231"/>
    </row>
    <row r="5" spans="2:13" ht="15">
      <c r="B5" s="249"/>
      <c r="C5" s="249"/>
      <c r="D5" s="234"/>
      <c r="E5" s="234"/>
      <c r="F5" s="234"/>
      <c r="G5" s="234"/>
      <c r="H5" s="234"/>
      <c r="I5" s="234"/>
      <c r="J5" s="249"/>
      <c r="K5" s="249"/>
      <c r="L5" s="249"/>
    </row>
    <row r="6" spans="2:13" ht="15">
      <c r="B6" s="233"/>
      <c r="C6" s="233"/>
      <c r="D6" s="231"/>
      <c r="E6" s="231"/>
      <c r="F6" s="231"/>
      <c r="G6" s="231"/>
      <c r="H6" s="231"/>
      <c r="I6" s="231"/>
      <c r="J6" s="231"/>
      <c r="K6" s="231"/>
      <c r="L6" s="231"/>
    </row>
    <row r="7" spans="2:13" ht="15" customHeight="1">
      <c r="B7" s="433"/>
      <c r="C7" s="433"/>
      <c r="D7" s="231"/>
    </row>
    <row r="8" spans="2:13">
      <c r="B8" s="434" t="s">
        <v>101</v>
      </c>
      <c r="C8" s="435"/>
      <c r="D8" s="436"/>
    </row>
    <row r="9" spans="2:13" ht="15">
      <c r="B9" s="231"/>
      <c r="C9" s="254"/>
      <c r="D9" s="231"/>
      <c r="E9" s="614" t="s">
        <v>272</v>
      </c>
      <c r="F9" s="614"/>
      <c r="G9" s="614"/>
      <c r="H9" s="253"/>
      <c r="I9" s="253"/>
      <c r="J9" s="253"/>
    </row>
    <row r="10" spans="2:13" ht="15">
      <c r="B10" s="580"/>
      <c r="C10" s="437" t="s">
        <v>85</v>
      </c>
      <c r="D10" s="580"/>
      <c r="E10" s="438" t="s">
        <v>6</v>
      </c>
      <c r="F10" s="439"/>
      <c r="G10" s="438" t="s">
        <v>341</v>
      </c>
      <c r="H10" s="438"/>
    </row>
    <row r="11" spans="2:13" ht="5.0999999999999996" customHeight="1">
      <c r="B11" s="580"/>
      <c r="C11" s="580"/>
      <c r="D11" s="580"/>
      <c r="E11" s="440"/>
      <c r="F11" s="441"/>
      <c r="G11" s="244"/>
      <c r="H11" s="232"/>
    </row>
    <row r="12" spans="2:13" ht="15">
      <c r="B12" s="585" t="s">
        <v>350</v>
      </c>
      <c r="C12" s="443" t="s">
        <v>248</v>
      </c>
      <c r="D12" s="231"/>
      <c r="E12" s="440">
        <v>806.59541821514313</v>
      </c>
      <c r="F12" s="232"/>
      <c r="G12" s="440"/>
      <c r="H12" s="232"/>
    </row>
    <row r="13" spans="2:13" ht="15">
      <c r="B13" s="589" t="s">
        <v>314</v>
      </c>
      <c r="C13" s="593" t="s">
        <v>316</v>
      </c>
      <c r="D13" s="231"/>
      <c r="E13" s="440">
        <v>300654.88914575183</v>
      </c>
      <c r="F13" s="232"/>
      <c r="G13" s="243">
        <v>372.74559507299131</v>
      </c>
      <c r="H13" s="232"/>
      <c r="J13" s="444"/>
    </row>
    <row r="14" spans="2:13" ht="15">
      <c r="B14" s="228"/>
      <c r="C14" s="228"/>
      <c r="D14" s="231"/>
      <c r="E14" s="440"/>
      <c r="F14" s="232"/>
      <c r="G14" s="440"/>
      <c r="H14" s="232"/>
    </row>
    <row r="15" spans="2:13" ht="15">
      <c r="B15" s="228"/>
      <c r="C15" s="228"/>
      <c r="D15" s="231"/>
      <c r="E15" s="440"/>
      <c r="F15" s="232"/>
      <c r="G15" s="243"/>
      <c r="H15" s="232"/>
    </row>
    <row r="16" spans="2:13" ht="15">
      <c r="B16" s="228"/>
      <c r="C16" s="437" t="s">
        <v>85</v>
      </c>
      <c r="D16" s="231"/>
      <c r="E16" s="438" t="s">
        <v>332</v>
      </c>
      <c r="F16" s="438"/>
      <c r="G16" s="445" t="s">
        <v>249</v>
      </c>
      <c r="H16" s="438"/>
    </row>
    <row r="17" spans="2:9" ht="5.0999999999999996" customHeight="1">
      <c r="B17" s="580"/>
      <c r="C17" s="580"/>
      <c r="D17" s="580"/>
      <c r="E17" s="442"/>
      <c r="F17" s="232"/>
      <c r="G17" s="244"/>
    </row>
    <row r="18" spans="2:9" s="447" customFormat="1" ht="15" customHeight="1">
      <c r="B18" s="436" t="s">
        <v>250</v>
      </c>
      <c r="C18" s="443" t="s">
        <v>83</v>
      </c>
      <c r="D18" s="436"/>
      <c r="E18" s="446">
        <v>5.1999999999999998E-2</v>
      </c>
      <c r="F18" s="436"/>
      <c r="G18" s="446">
        <v>4.9000000000000002E-2</v>
      </c>
    </row>
    <row r="19" spans="2:9" s="447" customFormat="1" ht="15" customHeight="1">
      <c r="B19" s="448" t="s">
        <v>251</v>
      </c>
      <c r="C19" s="590" t="s">
        <v>333</v>
      </c>
      <c r="D19" s="436"/>
      <c r="E19" s="591">
        <v>1.6</v>
      </c>
      <c r="F19" s="368"/>
      <c r="G19" s="592">
        <v>3</v>
      </c>
    </row>
    <row r="20" spans="2:9" s="447" customFormat="1" ht="15" customHeight="1">
      <c r="B20" s="436"/>
      <c r="C20" s="443"/>
      <c r="D20" s="436"/>
      <c r="E20" s="449"/>
      <c r="F20" s="368"/>
      <c r="G20" s="450"/>
      <c r="H20" s="368"/>
    </row>
    <row r="21" spans="2:9" ht="15">
      <c r="B21" s="231"/>
      <c r="C21" s="254"/>
      <c r="D21" s="231"/>
      <c r="E21" s="438" t="s">
        <v>6</v>
      </c>
      <c r="F21" s="439"/>
      <c r="G21" s="438" t="s">
        <v>341</v>
      </c>
      <c r="H21" s="438"/>
    </row>
    <row r="22" spans="2:9" ht="15" hidden="1" outlineLevel="1">
      <c r="B22" s="228"/>
      <c r="C22" s="451" t="s">
        <v>7</v>
      </c>
      <c r="D22" s="452"/>
      <c r="E22" s="453">
        <v>3115.6019429591984</v>
      </c>
      <c r="F22" s="454"/>
      <c r="G22" s="455">
        <v>3.8626576256203999</v>
      </c>
      <c r="H22" s="232"/>
      <c r="I22" s="232"/>
    </row>
    <row r="23" spans="2:9" ht="15" hidden="1" outlineLevel="1">
      <c r="B23" s="228"/>
      <c r="C23" s="451" t="s">
        <v>8</v>
      </c>
      <c r="D23" s="452"/>
      <c r="E23" s="453">
        <v>1115.9851984148106</v>
      </c>
      <c r="F23" s="454"/>
      <c r="G23" s="455">
        <v>1.3835749289083414</v>
      </c>
      <c r="H23" s="232"/>
      <c r="I23" s="232"/>
    </row>
    <row r="24" spans="2:9" ht="15" hidden="1" outlineLevel="1">
      <c r="B24" s="228"/>
      <c r="C24" s="451" t="s">
        <v>9</v>
      </c>
      <c r="D24" s="452"/>
      <c r="E24" s="453">
        <v>565.99166586640285</v>
      </c>
      <c r="F24" s="454"/>
      <c r="G24" s="455">
        <v>0.70170453871266092</v>
      </c>
      <c r="H24" s="232"/>
      <c r="I24" s="232"/>
    </row>
    <row r="25" spans="2:9" ht="15" collapsed="1">
      <c r="B25" s="231" t="s">
        <v>102</v>
      </c>
      <c r="C25" s="254" t="s">
        <v>143</v>
      </c>
      <c r="D25" s="231"/>
      <c r="E25" s="456">
        <v>4797.5788072404121</v>
      </c>
      <c r="F25" s="232"/>
      <c r="G25" s="457">
        <v>5.9479370932414026</v>
      </c>
      <c r="H25" s="232"/>
      <c r="I25" s="232"/>
    </row>
    <row r="26" spans="2:9" ht="15">
      <c r="B26" s="249"/>
      <c r="C26" s="249"/>
      <c r="D26" s="249"/>
      <c r="E26" s="234"/>
      <c r="F26" s="249"/>
      <c r="G26" s="234"/>
      <c r="H26" s="234"/>
    </row>
    <row r="27" spans="2:9" ht="15">
      <c r="B27" s="252" t="s">
        <v>11</v>
      </c>
      <c r="C27" s="252"/>
      <c r="D27" s="231"/>
      <c r="E27" s="231"/>
      <c r="F27" s="231"/>
      <c r="G27" s="231"/>
      <c r="H27" s="231"/>
    </row>
    <row r="28" spans="2:9" ht="15">
      <c r="B28" s="231"/>
      <c r="C28" s="231"/>
      <c r="D28" s="231"/>
      <c r="E28" s="231"/>
      <c r="F28" s="231"/>
      <c r="G28" s="231"/>
      <c r="H28" s="231"/>
    </row>
    <row r="29" spans="2:9">
      <c r="B29" s="267" t="s">
        <v>103</v>
      </c>
      <c r="C29" s="267"/>
      <c r="D29" s="579"/>
      <c r="E29" s="438" t="s">
        <v>6</v>
      </c>
      <c r="F29" s="439"/>
      <c r="G29" s="438" t="s">
        <v>341</v>
      </c>
      <c r="H29" s="438"/>
    </row>
    <row r="30" spans="2:9" ht="15" hidden="1" outlineLevel="1">
      <c r="B30" s="228"/>
      <c r="C30" s="261" t="s">
        <v>104</v>
      </c>
      <c r="D30" s="458"/>
      <c r="E30" s="459">
        <v>28449.69822631251</v>
      </c>
      <c r="F30" s="458"/>
      <c r="G30" s="460">
        <v>35.27133626579085</v>
      </c>
      <c r="H30" s="461"/>
    </row>
    <row r="31" spans="2:9" ht="15.75" hidden="1" outlineLevel="1">
      <c r="B31" s="228"/>
      <c r="C31" s="261" t="s">
        <v>244</v>
      </c>
      <c r="D31" s="462"/>
      <c r="E31" s="459">
        <v>23919.61742361217</v>
      </c>
      <c r="F31" s="462"/>
      <c r="G31" s="460">
        <v>29.655037560890403</v>
      </c>
      <c r="H31" s="461"/>
    </row>
    <row r="32" spans="2:9" ht="15.75" hidden="1" outlineLevel="1">
      <c r="B32" s="228"/>
      <c r="C32" s="261" t="s">
        <v>245</v>
      </c>
      <c r="D32" s="462"/>
      <c r="E32" s="459">
        <v>39163.660404761897</v>
      </c>
      <c r="F32" s="462"/>
      <c r="G32" s="460">
        <v>48.554280771175648</v>
      </c>
      <c r="H32" s="461"/>
    </row>
    <row r="33" spans="2:8" ht="15.75" hidden="1" outlineLevel="1">
      <c r="B33" s="228"/>
      <c r="C33" s="261" t="s">
        <v>246</v>
      </c>
      <c r="D33" s="462"/>
      <c r="E33" s="459">
        <v>6381.2356993242156</v>
      </c>
      <c r="F33" s="462"/>
      <c r="G33" s="460">
        <v>7.9113215314869914</v>
      </c>
      <c r="H33" s="461"/>
    </row>
    <row r="34" spans="2:8" ht="15.75" hidden="1" outlineLevel="1">
      <c r="B34" s="228"/>
      <c r="C34" s="261" t="s">
        <v>349</v>
      </c>
      <c r="D34" s="462"/>
      <c r="E34" s="459">
        <v>220561.60908067896</v>
      </c>
      <c r="F34" s="462"/>
      <c r="G34" s="460">
        <v>273.44763446430665</v>
      </c>
      <c r="H34" s="461"/>
    </row>
    <row r="35" spans="2:8" ht="15.75" hidden="1" outlineLevel="1">
      <c r="B35" s="228"/>
      <c r="C35" s="261" t="s">
        <v>247</v>
      </c>
      <c r="D35" s="462"/>
      <c r="E35" s="459">
        <v>118463.51815347066</v>
      </c>
      <c r="F35" s="462"/>
      <c r="G35" s="460">
        <v>146.86857311390395</v>
      </c>
      <c r="H35" s="461"/>
    </row>
    <row r="36" spans="2:8" ht="15.75" hidden="1" outlineLevel="1">
      <c r="B36" s="228"/>
      <c r="C36" s="261" t="s">
        <v>105</v>
      </c>
      <c r="D36" s="462"/>
      <c r="E36" s="459">
        <v>2045.2099746079653</v>
      </c>
      <c r="F36" s="462"/>
      <c r="G36" s="460">
        <v>2.5356082224390306</v>
      </c>
      <c r="H36" s="461"/>
    </row>
    <row r="37" spans="2:8" ht="15" collapsed="1">
      <c r="B37" s="231" t="s">
        <v>106</v>
      </c>
      <c r="C37" s="231"/>
      <c r="D37" s="231"/>
      <c r="E37" s="463">
        <v>438984.5489627684</v>
      </c>
      <c r="F37" s="231"/>
      <c r="G37" s="465">
        <v>544.24379192999356</v>
      </c>
      <c r="H37" s="466"/>
    </row>
    <row r="38" spans="2:8" ht="5.0999999999999996" customHeight="1">
      <c r="B38" s="580"/>
      <c r="C38" s="580"/>
      <c r="D38" s="580"/>
      <c r="E38" s="467"/>
      <c r="F38" s="580"/>
      <c r="G38" s="228"/>
      <c r="H38" s="231"/>
    </row>
    <row r="39" spans="2:8" ht="15.75" hidden="1" outlineLevel="1">
      <c r="B39" s="228"/>
      <c r="C39" s="261" t="s">
        <v>107</v>
      </c>
      <c r="D39" s="462"/>
      <c r="E39" s="459">
        <v>407183.42369537341</v>
      </c>
      <c r="F39" s="458"/>
      <c r="G39" s="460">
        <v>504.81742705209052</v>
      </c>
      <c r="H39" s="461"/>
    </row>
    <row r="40" spans="2:8" ht="15.75" hidden="1" outlineLevel="1">
      <c r="B40" s="228"/>
      <c r="C40" s="261" t="s">
        <v>48</v>
      </c>
      <c r="D40" s="462"/>
      <c r="E40" s="459">
        <v>389539.26662632398</v>
      </c>
      <c r="F40" s="458"/>
      <c r="G40" s="460">
        <v>482.9425729795334</v>
      </c>
      <c r="H40" s="461"/>
    </row>
    <row r="41" spans="2:8" ht="15.75" hidden="1" outlineLevel="1">
      <c r="B41" s="228"/>
      <c r="C41" s="261" t="s">
        <v>59</v>
      </c>
      <c r="D41" s="462"/>
      <c r="E41" s="459">
        <v>124417.25872368659</v>
      </c>
      <c r="F41" s="458"/>
      <c r="G41" s="460">
        <v>154.24989519404983</v>
      </c>
      <c r="H41" s="461"/>
    </row>
    <row r="42" spans="2:8" ht="15.75" hidden="1" outlineLevel="1">
      <c r="B42" s="228"/>
      <c r="C42" s="261" t="s">
        <v>108</v>
      </c>
      <c r="D42" s="462"/>
      <c r="E42" s="459">
        <v>111665.53759683418</v>
      </c>
      <c r="F42" s="458"/>
      <c r="G42" s="460">
        <v>138.44058009147983</v>
      </c>
      <c r="H42" s="461"/>
    </row>
    <row r="43" spans="2:8" ht="15.75" hidden="1" outlineLevel="1">
      <c r="B43" s="228"/>
      <c r="C43" s="261" t="s">
        <v>109</v>
      </c>
      <c r="D43" s="462"/>
      <c r="E43" s="459">
        <v>31467.459652932965</v>
      </c>
      <c r="F43" s="458"/>
      <c r="G43" s="460">
        <v>39.012693281304578</v>
      </c>
      <c r="H43" s="461"/>
    </row>
    <row r="44" spans="2:8" ht="15" collapsed="1">
      <c r="B44" s="231" t="s">
        <v>110</v>
      </c>
      <c r="C44" s="231"/>
      <c r="D44" s="231"/>
      <c r="E44" s="463">
        <v>1064272.9462951513</v>
      </c>
      <c r="F44" s="231"/>
      <c r="G44" s="465">
        <v>1319.4631685984582</v>
      </c>
      <c r="H44" s="466"/>
    </row>
    <row r="45" spans="2:8" ht="5.0999999999999996" customHeight="1">
      <c r="B45" s="468"/>
      <c r="C45" s="468"/>
      <c r="D45" s="269"/>
      <c r="E45" s="469"/>
      <c r="F45" s="469"/>
      <c r="G45" s="469"/>
      <c r="H45" s="469"/>
    </row>
    <row r="46" spans="2:8" ht="15">
      <c r="B46" s="231" t="s">
        <v>111</v>
      </c>
      <c r="C46" s="231"/>
      <c r="D46" s="231"/>
      <c r="E46" s="470">
        <v>1503257.4952579197</v>
      </c>
      <c r="F46" s="231"/>
      <c r="G46" s="322">
        <v>1863.7069605284519</v>
      </c>
      <c r="H46" s="471"/>
    </row>
    <row r="47" spans="2:8" ht="15">
      <c r="B47" s="231"/>
      <c r="C47" s="231"/>
      <c r="D47" s="231"/>
      <c r="E47" s="270"/>
      <c r="F47" s="231"/>
      <c r="G47" s="473"/>
      <c r="H47" s="231"/>
    </row>
    <row r="48" spans="2:8" ht="15">
      <c r="B48" s="267" t="s">
        <v>112</v>
      </c>
      <c r="C48" s="267"/>
      <c r="D48" s="270"/>
      <c r="E48" s="278"/>
      <c r="F48" s="278"/>
      <c r="G48" s="474"/>
      <c r="H48" s="278"/>
    </row>
    <row r="49" spans="2:10" ht="15" hidden="1" outlineLevel="1">
      <c r="B49" s="228"/>
      <c r="C49" s="261" t="s">
        <v>113</v>
      </c>
      <c r="D49" s="458"/>
      <c r="E49" s="459">
        <v>278589.50581855362</v>
      </c>
      <c r="F49" s="458"/>
      <c r="G49" s="460">
        <v>345.38939786569119</v>
      </c>
      <c r="H49" s="461"/>
    </row>
    <row r="50" spans="2:10" ht="15.75" hidden="1" outlineLevel="1">
      <c r="B50" s="228"/>
      <c r="C50" s="261" t="s">
        <v>114</v>
      </c>
      <c r="D50" s="462"/>
      <c r="E50" s="459">
        <v>29206.187131406226</v>
      </c>
      <c r="F50" s="462"/>
      <c r="G50" s="460">
        <v>36.209215266849021</v>
      </c>
      <c r="H50" s="461"/>
    </row>
    <row r="51" spans="2:10" ht="15" collapsed="1">
      <c r="B51" s="254" t="s">
        <v>115</v>
      </c>
      <c r="C51" s="233"/>
      <c r="D51" s="231"/>
      <c r="E51" s="269">
        <v>307795.69294995983</v>
      </c>
      <c r="F51" s="231"/>
      <c r="G51" s="310">
        <v>381.59861313254021</v>
      </c>
      <c r="H51" s="475"/>
    </row>
    <row r="52" spans="2:10" ht="5.0999999999999996" customHeight="1">
      <c r="B52" s="580"/>
      <c r="C52" s="580"/>
      <c r="D52" s="580"/>
      <c r="E52" s="476"/>
      <c r="F52" s="580"/>
      <c r="G52" s="464"/>
      <c r="H52" s="231"/>
    </row>
    <row r="53" spans="2:10" ht="15">
      <c r="B53" s="254" t="s">
        <v>116</v>
      </c>
      <c r="C53" s="233"/>
      <c r="D53" s="231"/>
      <c r="E53" s="269">
        <v>972789.84828481008</v>
      </c>
      <c r="F53" s="231"/>
      <c r="G53" s="310">
        <v>824.44573861622962</v>
      </c>
      <c r="H53" s="477"/>
    </row>
    <row r="54" spans="2:10" ht="5.0999999999999996" customHeight="1">
      <c r="B54" s="478"/>
      <c r="C54" s="468"/>
      <c r="D54" s="231"/>
      <c r="E54" s="469"/>
      <c r="F54" s="231"/>
      <c r="G54" s="469"/>
      <c r="H54" s="469"/>
    </row>
    <row r="55" spans="2:10" ht="15">
      <c r="B55" s="231" t="s">
        <v>117</v>
      </c>
      <c r="C55" s="231"/>
      <c r="D55" s="231"/>
      <c r="E55" s="471">
        <v>530467.64697310957</v>
      </c>
      <c r="F55" s="231"/>
      <c r="G55" s="472">
        <v>1206.0443517487697</v>
      </c>
      <c r="H55" s="471"/>
    </row>
    <row r="56" spans="2:10" ht="9.9499999999999993" customHeight="1">
      <c r="B56" s="231"/>
      <c r="C56" s="231"/>
      <c r="D56" s="231"/>
      <c r="E56" s="269"/>
      <c r="F56" s="231"/>
      <c r="G56" s="231"/>
      <c r="H56" s="231"/>
    </row>
    <row r="57" spans="2:10" ht="15">
      <c r="B57" s="4" t="s">
        <v>118</v>
      </c>
      <c r="C57" s="479"/>
      <c r="D57" s="479"/>
      <c r="E57" s="480">
        <v>1503257.4952579197</v>
      </c>
      <c r="F57" s="480"/>
      <c r="G57" s="481">
        <v>657.66260877968216</v>
      </c>
      <c r="H57" s="481"/>
    </row>
    <row r="58" spans="2:10" ht="15">
      <c r="B58" s="231" t="s">
        <v>119</v>
      </c>
      <c r="C58" s="231"/>
      <c r="D58" s="231"/>
      <c r="E58" s="286">
        <v>0.64712123595159898</v>
      </c>
      <c r="F58" s="286"/>
      <c r="G58" s="286"/>
      <c r="H58" s="286"/>
      <c r="I58" s="286"/>
    </row>
    <row r="59" spans="2:10" ht="15">
      <c r="B59" s="249"/>
      <c r="C59" s="249"/>
      <c r="D59" s="234"/>
      <c r="E59" s="234"/>
      <c r="F59" s="234"/>
      <c r="G59" s="234"/>
      <c r="H59" s="234"/>
      <c r="I59" s="234"/>
      <c r="J59" s="234"/>
    </row>
    <row r="60" spans="2:10" ht="15" customHeight="1">
      <c r="B60" s="252" t="s">
        <v>120</v>
      </c>
      <c r="C60" s="252"/>
      <c r="D60" s="231"/>
      <c r="E60" s="615" t="s">
        <v>272</v>
      </c>
      <c r="F60" s="615"/>
      <c r="G60" s="615"/>
      <c r="H60" s="615"/>
      <c r="I60" s="615"/>
      <c r="J60" s="615"/>
    </row>
    <row r="61" spans="2:10" ht="15" thickBot="1">
      <c r="B61" s="482" t="s">
        <v>121</v>
      </c>
      <c r="C61" s="482"/>
      <c r="D61" s="482"/>
      <c r="E61" s="616"/>
      <c r="F61" s="616"/>
      <c r="G61" s="616"/>
      <c r="H61" s="616"/>
      <c r="I61" s="616"/>
      <c r="J61" s="616"/>
    </row>
    <row r="62" spans="2:10" ht="15">
      <c r="B62" s="231"/>
      <c r="C62" s="231"/>
      <c r="D62" s="228"/>
      <c r="E62" s="483" t="s">
        <v>6</v>
      </c>
      <c r="F62" s="484"/>
      <c r="G62" s="483" t="s">
        <v>341</v>
      </c>
      <c r="H62" s="483"/>
      <c r="I62" s="483" t="s">
        <v>342</v>
      </c>
      <c r="J62" s="483"/>
    </row>
    <row r="63" spans="2:10" ht="15">
      <c r="B63" s="485" t="s">
        <v>122</v>
      </c>
      <c r="C63" s="486"/>
      <c r="D63" s="487"/>
      <c r="E63" s="488"/>
      <c r="F63" s="487"/>
      <c r="G63" s="489"/>
      <c r="H63" s="489"/>
      <c r="I63" s="489"/>
      <c r="J63" s="490"/>
    </row>
    <row r="64" spans="2:10" ht="5.0999999999999996" customHeight="1">
      <c r="B64" s="394"/>
      <c r="C64" s="395"/>
      <c r="D64" s="394"/>
      <c r="E64" s="476"/>
      <c r="F64" s="394"/>
      <c r="G64" s="491"/>
      <c r="H64" s="231"/>
      <c r="I64" s="228"/>
      <c r="J64" s="231"/>
    </row>
    <row r="65" spans="2:10" ht="15" hidden="1" outlineLevel="1">
      <c r="B65" s="580"/>
      <c r="C65" s="498" t="s">
        <v>340</v>
      </c>
      <c r="D65" s="499"/>
      <c r="E65" s="500">
        <v>73985.700120795489</v>
      </c>
      <c r="F65" s="501"/>
      <c r="G65" s="497">
        <v>91.725911714838546</v>
      </c>
      <c r="H65" s="497"/>
      <c r="I65" s="497">
        <v>24.608181270895155</v>
      </c>
      <c r="J65" s="497"/>
    </row>
    <row r="66" spans="2:10" ht="15" hidden="1" outlineLevel="1">
      <c r="B66" s="580"/>
      <c r="C66" s="498" t="s">
        <v>317</v>
      </c>
      <c r="D66" s="499"/>
      <c r="E66" s="500">
        <v>3494.0505195680989</v>
      </c>
      <c r="F66" s="501"/>
      <c r="G66" s="497">
        <v>4.3318501948595634</v>
      </c>
      <c r="H66" s="497"/>
      <c r="I66" s="497">
        <v>1.1621465825803514</v>
      </c>
      <c r="J66" s="497"/>
    </row>
    <row r="67" spans="2:10" ht="15" hidden="1" outlineLevel="1">
      <c r="B67" s="580"/>
      <c r="C67" s="498" t="s">
        <v>318</v>
      </c>
      <c r="D67" s="499"/>
      <c r="E67" s="500">
        <v>2791.0265215165182</v>
      </c>
      <c r="F67" s="501"/>
      <c r="G67" s="497">
        <v>3.4602558587458625</v>
      </c>
      <c r="H67" s="497"/>
      <c r="I67" s="497">
        <v>0.92831569426548755</v>
      </c>
      <c r="J67" s="497"/>
    </row>
    <row r="68" spans="2:10" ht="15" hidden="1" outlineLevel="1">
      <c r="B68" s="394"/>
      <c r="C68" s="498" t="s">
        <v>281</v>
      </c>
      <c r="D68" s="499"/>
      <c r="E68" s="500">
        <v>132534.67401135736</v>
      </c>
      <c r="F68" s="501"/>
      <c r="G68" s="497">
        <v>164.31369558809769</v>
      </c>
      <c r="H68" s="497">
        <v>0</v>
      </c>
      <c r="I68" s="497">
        <v>44.08199526970175</v>
      </c>
      <c r="J68" s="497"/>
    </row>
    <row r="69" spans="2:10" ht="15" customHeight="1" collapsed="1">
      <c r="B69" s="609" t="s">
        <v>339</v>
      </c>
      <c r="C69" s="610"/>
      <c r="D69" s="394"/>
      <c r="E69" s="282">
        <v>212805.45117323747</v>
      </c>
      <c r="F69" s="502"/>
      <c r="G69" s="296">
        <v>263.83171335654168</v>
      </c>
      <c r="H69" s="296"/>
      <c r="I69" s="296">
        <v>70.78063881744275</v>
      </c>
      <c r="J69" s="296"/>
    </row>
    <row r="70" spans="2:10" ht="5.0999999999999996" customHeight="1">
      <c r="B70" s="394"/>
      <c r="C70" s="395"/>
      <c r="D70" s="394"/>
      <c r="E70" s="282"/>
      <c r="F70" s="502"/>
      <c r="G70" s="296"/>
      <c r="H70" s="296"/>
      <c r="I70" s="296"/>
      <c r="J70" s="296"/>
    </row>
    <row r="71" spans="2:10" ht="15" hidden="1" outlineLevel="1">
      <c r="B71" s="394"/>
      <c r="C71" s="498" t="s">
        <v>282</v>
      </c>
      <c r="D71" s="394"/>
      <c r="E71" s="500">
        <v>36906.258650769072</v>
      </c>
      <c r="F71" s="502"/>
      <c r="G71" s="497">
        <v>45.75560165272978</v>
      </c>
      <c r="H71" s="497"/>
      <c r="I71" s="497">
        <v>12.275289703630134</v>
      </c>
      <c r="J71" s="497"/>
    </row>
    <row r="72" spans="2:10" ht="15" hidden="1" outlineLevel="1">
      <c r="B72" s="394"/>
      <c r="C72" s="498" t="s">
        <v>343</v>
      </c>
      <c r="D72" s="394"/>
      <c r="E72" s="500">
        <v>16324.26962857159</v>
      </c>
      <c r="F72" s="502"/>
      <c r="G72" s="497">
        <v>20.238485441306363</v>
      </c>
      <c r="H72" s="497"/>
      <c r="I72" s="497">
        <v>5.4295706532342107</v>
      </c>
      <c r="J72" s="497"/>
    </row>
    <row r="73" spans="2:10" ht="15" hidden="1" outlineLevel="1">
      <c r="B73" s="394"/>
      <c r="C73" s="503" t="s">
        <v>177</v>
      </c>
      <c r="D73" s="394"/>
      <c r="E73" s="500">
        <v>97973.204452836944</v>
      </c>
      <c r="F73" s="502"/>
      <c r="G73" s="497">
        <v>121.4651140340405</v>
      </c>
      <c r="H73" s="497"/>
      <c r="I73" s="497">
        <v>32.586599450023037</v>
      </c>
      <c r="J73" s="497"/>
    </row>
    <row r="74" spans="2:10" ht="15" hidden="1" outlineLevel="1">
      <c r="B74" s="394"/>
      <c r="C74" s="503" t="s">
        <v>176</v>
      </c>
      <c r="D74" s="394"/>
      <c r="E74" s="500">
        <v>60230.428665238782</v>
      </c>
      <c r="F74" s="502"/>
      <c r="G74" s="497">
        <v>74.672416065192081</v>
      </c>
      <c r="H74" s="497"/>
      <c r="I74" s="497">
        <v>20.033078070465105</v>
      </c>
      <c r="J74" s="497"/>
    </row>
    <row r="75" spans="2:10" ht="15" hidden="1" outlineLevel="1">
      <c r="B75" s="394"/>
      <c r="C75" s="503" t="s">
        <v>283</v>
      </c>
      <c r="D75" s="394"/>
      <c r="E75" s="500">
        <v>1326.7744621142801</v>
      </c>
      <c r="F75" s="502"/>
      <c r="G75" s="497">
        <v>1.6449070155273182</v>
      </c>
      <c r="H75" s="497"/>
      <c r="I75" s="497">
        <v>0.44129482340501203</v>
      </c>
      <c r="J75" s="497"/>
    </row>
    <row r="76" spans="2:10" ht="15" hidden="1" outlineLevel="1">
      <c r="B76" s="394"/>
      <c r="C76" s="498" t="s">
        <v>284</v>
      </c>
      <c r="D76" s="394"/>
      <c r="E76" s="500">
        <v>1486.0243944834324</v>
      </c>
      <c r="F76" s="502"/>
      <c r="G76" s="497">
        <v>1.8423417253866241</v>
      </c>
      <c r="H76" s="497"/>
      <c r="I76" s="497">
        <v>0.49426250765642321</v>
      </c>
      <c r="J76" s="497"/>
    </row>
    <row r="77" spans="2:10" ht="15" customHeight="1" collapsed="1">
      <c r="B77" s="609" t="s">
        <v>175</v>
      </c>
      <c r="C77" s="610"/>
      <c r="D77" s="394"/>
      <c r="E77" s="282">
        <v>214246.96025401409</v>
      </c>
      <c r="F77" s="502"/>
      <c r="G77" s="296">
        <v>265.61886593418268</v>
      </c>
      <c r="H77" s="296"/>
      <c r="I77" s="296">
        <v>71.260095208413929</v>
      </c>
      <c r="J77" s="296"/>
    </row>
    <row r="78" spans="2:10" ht="5.0999999999999996" customHeight="1">
      <c r="B78" s="504"/>
      <c r="C78" s="395"/>
      <c r="D78" s="394"/>
      <c r="E78" s="464"/>
      <c r="F78" s="502"/>
      <c r="G78" s="465"/>
      <c r="H78" s="465"/>
      <c r="I78" s="465"/>
      <c r="J78" s="465"/>
    </row>
    <row r="79" spans="2:10" ht="15.75" hidden="1" outlineLevel="1">
      <c r="B79" s="394"/>
      <c r="C79" s="505" t="s">
        <v>180</v>
      </c>
      <c r="D79" s="499"/>
      <c r="E79" s="506">
        <v>28047.852850379088</v>
      </c>
      <c r="F79" s="507"/>
      <c r="G79" s="507">
        <v>34.773136837851325</v>
      </c>
      <c r="H79" s="507"/>
      <c r="I79" s="507">
        <v>9.3289195895237924</v>
      </c>
      <c r="J79" s="507"/>
    </row>
    <row r="80" spans="2:10" ht="15" hidden="1" outlineLevel="1">
      <c r="B80" s="394"/>
      <c r="C80" s="498" t="s">
        <v>285</v>
      </c>
      <c r="D80" s="499"/>
      <c r="E80" s="506">
        <v>375.44673869047625</v>
      </c>
      <c r="F80" s="501"/>
      <c r="G80" s="507">
        <v>0.46547095385351345</v>
      </c>
      <c r="H80" s="507"/>
      <c r="I80" s="507">
        <v>0.12487631242493007</v>
      </c>
      <c r="J80" s="508"/>
    </row>
    <row r="81" spans="2:10" ht="15" customHeight="1" collapsed="1">
      <c r="B81" s="609" t="s">
        <v>206</v>
      </c>
      <c r="C81" s="610"/>
      <c r="D81" s="394"/>
      <c r="E81" s="282">
        <v>28423.299589069564</v>
      </c>
      <c r="F81" s="502"/>
      <c r="G81" s="296">
        <v>35.238607791704837</v>
      </c>
      <c r="H81" s="296"/>
      <c r="I81" s="296">
        <v>9.4537959019487232</v>
      </c>
      <c r="J81" s="296"/>
    </row>
    <row r="82" spans="2:10" ht="5.0999999999999996" customHeight="1">
      <c r="B82" s="504"/>
      <c r="C82" s="581"/>
      <c r="D82" s="580"/>
      <c r="E82" s="464"/>
      <c r="F82" s="502"/>
      <c r="G82" s="465"/>
      <c r="H82" s="465"/>
      <c r="I82" s="465"/>
      <c r="J82" s="465"/>
    </row>
    <row r="83" spans="2:10" ht="15.75" hidden="1" outlineLevel="1">
      <c r="B83" s="580"/>
      <c r="C83" s="505" t="s">
        <v>286</v>
      </c>
      <c r="D83" s="499"/>
      <c r="E83" s="506">
        <v>7740.258570972469</v>
      </c>
      <c r="F83" s="507"/>
      <c r="G83" s="507">
        <v>9.5962094454991202</v>
      </c>
      <c r="H83" s="507"/>
      <c r="I83" s="507">
        <v>2.5744662237041278</v>
      </c>
      <c r="J83" s="507"/>
    </row>
    <row r="84" spans="2:10" ht="15" hidden="1" outlineLevel="1">
      <c r="B84" s="580"/>
      <c r="C84" s="498" t="s">
        <v>214</v>
      </c>
      <c r="D84" s="499"/>
      <c r="E84" s="506">
        <v>493.37279019556661</v>
      </c>
      <c r="F84" s="501"/>
      <c r="G84" s="507">
        <v>0.61167318714420138</v>
      </c>
      <c r="H84" s="507"/>
      <c r="I84" s="507">
        <v>0.16409937373624039</v>
      </c>
      <c r="J84" s="508"/>
    </row>
    <row r="85" spans="2:10" ht="15" customHeight="1" collapsed="1">
      <c r="B85" s="609" t="s">
        <v>178</v>
      </c>
      <c r="C85" s="610"/>
      <c r="D85" s="580"/>
      <c r="E85" s="282">
        <v>8233.6313611680362</v>
      </c>
      <c r="F85" s="502"/>
      <c r="G85" s="296">
        <v>10.207882632643322</v>
      </c>
      <c r="H85" s="296"/>
      <c r="I85" s="296">
        <v>2.7385655974403682</v>
      </c>
      <c r="J85" s="296"/>
    </row>
    <row r="86" spans="2:10" ht="5.0999999999999996" customHeight="1">
      <c r="B86" s="504"/>
      <c r="C86" s="395"/>
      <c r="D86" s="394"/>
      <c r="E86" s="464"/>
      <c r="F86" s="502"/>
      <c r="G86" s="465"/>
      <c r="H86" s="465"/>
      <c r="I86" s="465"/>
      <c r="J86" s="465"/>
    </row>
    <row r="87" spans="2:10" ht="15.75" hidden="1" outlineLevel="1">
      <c r="B87" s="504"/>
      <c r="C87" s="505" t="s">
        <v>288</v>
      </c>
      <c r="D87" s="394"/>
      <c r="E87" s="506">
        <v>8680.2943709870688</v>
      </c>
      <c r="F87" s="507"/>
      <c r="G87" s="507">
        <v>10.761646018514543</v>
      </c>
      <c r="H87" s="507"/>
      <c r="I87" s="507">
        <v>2.8871289589370441</v>
      </c>
      <c r="J87" s="507"/>
    </row>
    <row r="88" spans="2:10" ht="15.75" hidden="1" outlineLevel="1">
      <c r="B88" s="504"/>
      <c r="C88" s="505" t="s">
        <v>289</v>
      </c>
      <c r="D88" s="394"/>
      <c r="E88" s="506">
        <v>4163.3755567211374</v>
      </c>
      <c r="F88" s="507"/>
      <c r="G88" s="507">
        <v>5.1616652694779388</v>
      </c>
      <c r="H88" s="507"/>
      <c r="I88" s="507">
        <v>1.3847689517208586</v>
      </c>
      <c r="J88" s="507"/>
    </row>
    <row r="89" spans="2:10" ht="15.75" hidden="1" outlineLevel="1">
      <c r="B89" s="504"/>
      <c r="C89" s="505" t="s">
        <v>290</v>
      </c>
      <c r="D89" s="394"/>
      <c r="E89" s="506">
        <v>528.36962104936492</v>
      </c>
      <c r="F89" s="507"/>
      <c r="G89" s="507">
        <v>0.65506152045663235</v>
      </c>
      <c r="H89" s="507"/>
      <c r="I89" s="507">
        <v>0.17573957388506703</v>
      </c>
      <c r="J89" s="507"/>
    </row>
    <row r="90" spans="2:10" ht="15.75" hidden="1" outlineLevel="1">
      <c r="B90" s="504"/>
      <c r="C90" s="505" t="s">
        <v>291</v>
      </c>
      <c r="D90" s="580"/>
      <c r="E90" s="506">
        <v>89.345028766660477</v>
      </c>
      <c r="F90" s="507"/>
      <c r="G90" s="507">
        <v>0.11076808366252024</v>
      </c>
      <c r="H90" s="507"/>
      <c r="I90" s="507">
        <v>2.9716805544229046E-2</v>
      </c>
      <c r="J90" s="507"/>
    </row>
    <row r="91" spans="2:10" ht="15.75" hidden="1" outlineLevel="1">
      <c r="B91" s="504"/>
      <c r="C91" s="505" t="s">
        <v>292</v>
      </c>
      <c r="D91" s="580"/>
      <c r="E91" s="506">
        <v>1613.190836430286</v>
      </c>
      <c r="F91" s="507"/>
      <c r="G91" s="507">
        <v>1.9999999999999998</v>
      </c>
      <c r="H91" s="507"/>
      <c r="I91" s="507">
        <v>0.53655898994818652</v>
      </c>
      <c r="J91" s="507"/>
    </row>
    <row r="92" spans="2:10" ht="15.75" hidden="1" outlineLevel="1">
      <c r="B92" s="504"/>
      <c r="C92" s="505" t="s">
        <v>293</v>
      </c>
      <c r="D92" s="580"/>
      <c r="E92" s="506">
        <v>4032.977091075717</v>
      </c>
      <c r="F92" s="507"/>
      <c r="G92" s="507">
        <v>5.0000000000000018</v>
      </c>
      <c r="H92" s="507"/>
      <c r="I92" s="507">
        <v>1.3413974748704669</v>
      </c>
      <c r="J92" s="507"/>
    </row>
    <row r="93" spans="2:10" ht="15.75" hidden="1" outlineLevel="1">
      <c r="B93" s="504"/>
      <c r="C93" s="505" t="s">
        <v>294</v>
      </c>
      <c r="D93" s="394"/>
      <c r="E93" s="506">
        <v>201.64885455378575</v>
      </c>
      <c r="F93" s="507"/>
      <c r="G93" s="507">
        <v>0.24999999999999997</v>
      </c>
      <c r="H93" s="507"/>
      <c r="I93" s="507">
        <v>6.7069873743523314E-2</v>
      </c>
      <c r="J93" s="507"/>
    </row>
    <row r="94" spans="2:10" ht="15.75" hidden="1" outlineLevel="1">
      <c r="B94" s="504"/>
      <c r="C94" s="505" t="s">
        <v>295</v>
      </c>
      <c r="D94" s="580"/>
      <c r="E94" s="506">
        <v>1015.628619531648</v>
      </c>
      <c r="F94" s="507"/>
      <c r="G94" s="507">
        <v>1.2591549574866907</v>
      </c>
      <c r="H94" s="507"/>
      <c r="I94" s="507">
        <v>0.33780545608865531</v>
      </c>
      <c r="J94" s="507"/>
    </row>
    <row r="95" spans="2:10" ht="15" hidden="1" outlineLevel="1">
      <c r="B95" s="504"/>
      <c r="C95" s="498" t="s">
        <v>296</v>
      </c>
      <c r="D95" s="394"/>
      <c r="E95" s="506">
        <v>361.38666666666643</v>
      </c>
      <c r="F95" s="501"/>
      <c r="G95" s="507">
        <v>0.44803957288320945</v>
      </c>
      <c r="H95" s="509"/>
      <c r="I95" s="507">
        <v>0.12019983034151591</v>
      </c>
      <c r="J95" s="509"/>
    </row>
    <row r="96" spans="2:10" ht="15" customHeight="1" collapsed="1">
      <c r="B96" s="609" t="s">
        <v>181</v>
      </c>
      <c r="C96" s="610"/>
      <c r="D96" s="228"/>
      <c r="E96" s="587">
        <v>20686.216645782337</v>
      </c>
      <c r="F96" s="297"/>
      <c r="G96" s="588">
        <v>25.646335422481538</v>
      </c>
      <c r="H96" s="465"/>
      <c r="I96" s="588">
        <v>6.8803859150795468</v>
      </c>
      <c r="J96" s="465"/>
    </row>
    <row r="97" spans="2:10" ht="5.0999999999999996" customHeight="1">
      <c r="B97" s="254"/>
      <c r="C97" s="295"/>
      <c r="D97" s="228"/>
      <c r="E97" s="464"/>
      <c r="F97" s="297"/>
      <c r="G97" s="465"/>
      <c r="H97" s="465"/>
      <c r="I97" s="465"/>
      <c r="J97" s="465"/>
    </row>
    <row r="98" spans="2:10" ht="15" hidden="1" outlineLevel="1">
      <c r="B98" s="394"/>
      <c r="C98" s="498" t="s">
        <v>183</v>
      </c>
      <c r="D98" s="510"/>
      <c r="E98" s="500">
        <v>18014.208063464837</v>
      </c>
      <c r="F98" s="508"/>
      <c r="G98" s="497">
        <v>22.333635496377081</v>
      </c>
      <c r="H98" s="497"/>
      <c r="I98" s="497">
        <v>5.9916564519035269</v>
      </c>
      <c r="J98" s="497"/>
    </row>
    <row r="99" spans="2:10" ht="15" hidden="1" outlineLevel="1">
      <c r="B99" s="394"/>
      <c r="C99" s="498" t="s">
        <v>184</v>
      </c>
      <c r="D99" s="510"/>
      <c r="E99" s="500">
        <v>15100.695885250172</v>
      </c>
      <c r="F99" s="508"/>
      <c r="G99" s="497">
        <v>18.721524501918712</v>
      </c>
      <c r="H99" s="497"/>
      <c r="I99" s="497">
        <v>5.0226011385198657</v>
      </c>
      <c r="J99" s="497"/>
    </row>
    <row r="100" spans="2:10" ht="15" hidden="1" outlineLevel="1">
      <c r="B100" s="394"/>
      <c r="C100" s="498" t="s">
        <v>185</v>
      </c>
      <c r="D100" s="510"/>
      <c r="E100" s="500">
        <v>6308.5881227586833</v>
      </c>
      <c r="F100" s="508"/>
      <c r="G100" s="497">
        <v>7.8212545971541756</v>
      </c>
      <c r="H100" s="497"/>
      <c r="I100" s="497">
        <v>2.098282233388328</v>
      </c>
      <c r="J100" s="497"/>
    </row>
    <row r="101" spans="2:10" ht="15" hidden="1" outlineLevel="1">
      <c r="B101" s="394"/>
      <c r="C101" s="498" t="s">
        <v>39</v>
      </c>
      <c r="D101" s="510"/>
      <c r="E101" s="500">
        <v>628.74504821428582</v>
      </c>
      <c r="F101" s="508"/>
      <c r="G101" s="497">
        <v>0.77950485958076776</v>
      </c>
      <c r="H101" s="497"/>
      <c r="I101" s="497">
        <v>0.20912517005817993</v>
      </c>
      <c r="J101" s="497"/>
    </row>
    <row r="102" spans="2:10" ht="15" hidden="1" outlineLevel="1">
      <c r="B102" s="580"/>
      <c r="C102" s="498" t="s">
        <v>297</v>
      </c>
      <c r="D102" s="510"/>
      <c r="E102" s="500">
        <v>1164.2774761904761</v>
      </c>
      <c r="F102" s="508"/>
      <c r="G102" s="497">
        <v>1.4434466771046404</v>
      </c>
      <c r="H102" s="497"/>
      <c r="I102" s="497">
        <v>0.38724714555566614</v>
      </c>
      <c r="J102" s="497"/>
    </row>
    <row r="103" spans="2:10" ht="15" hidden="1" outlineLevel="1">
      <c r="B103" s="394"/>
      <c r="C103" s="498" t="s">
        <v>186</v>
      </c>
      <c r="D103" s="510"/>
      <c r="E103" s="500">
        <v>105.30837380952381</v>
      </c>
      <c r="F103" s="508"/>
      <c r="G103" s="497">
        <v>0.13055910240917698</v>
      </c>
      <c r="H103" s="497"/>
      <c r="I103" s="497">
        <v>3.5026330058604935E-2</v>
      </c>
      <c r="J103" s="497"/>
    </row>
    <row r="104" spans="2:10" ht="15" hidden="1" outlineLevel="1">
      <c r="B104" s="394"/>
      <c r="C104" s="498" t="s">
        <v>237</v>
      </c>
      <c r="D104" s="510"/>
      <c r="E104" s="500">
        <v>1676.828588143253</v>
      </c>
      <c r="F104" s="508"/>
      <c r="G104" s="497">
        <v>2.0788967433683001</v>
      </c>
      <c r="H104" s="497"/>
      <c r="I104" s="497">
        <v>0.55772536841413478</v>
      </c>
      <c r="J104" s="497"/>
    </row>
    <row r="105" spans="2:10" ht="15" customHeight="1" collapsed="1">
      <c r="B105" s="609" t="s">
        <v>320</v>
      </c>
      <c r="C105" s="610"/>
      <c r="D105" s="228"/>
      <c r="E105" s="282">
        <v>42998.651557831232</v>
      </c>
      <c r="F105" s="297"/>
      <c r="G105" s="296">
        <v>53.308821977912849</v>
      </c>
      <c r="H105" s="296"/>
      <c r="I105" s="296">
        <v>14.301663837898305</v>
      </c>
      <c r="J105" s="296"/>
    </row>
    <row r="106" spans="2:10" ht="5.0999999999999996" customHeight="1">
      <c r="B106" s="504"/>
      <c r="C106" s="511"/>
      <c r="D106" s="512"/>
      <c r="E106" s="464"/>
      <c r="F106" s="513"/>
      <c r="G106" s="465"/>
      <c r="H106" s="465"/>
      <c r="I106" s="465"/>
      <c r="J106" s="465"/>
    </row>
    <row r="107" spans="2:10" ht="15" hidden="1" outlineLevel="1">
      <c r="B107" s="394"/>
      <c r="C107" s="498" t="s">
        <v>123</v>
      </c>
      <c r="D107" s="499"/>
      <c r="E107" s="500">
        <v>7243.0043805419327</v>
      </c>
      <c r="F107" s="501"/>
      <c r="G107" s="497">
        <v>8.9797241801465422</v>
      </c>
      <c r="H107" s="497"/>
      <c r="I107" s="497">
        <v>2.4090758680563682</v>
      </c>
      <c r="J107" s="497"/>
    </row>
    <row r="108" spans="2:10" ht="15" hidden="1" outlineLevel="1">
      <c r="B108" s="394"/>
      <c r="C108" s="498" t="s">
        <v>124</v>
      </c>
      <c r="D108" s="499"/>
      <c r="E108" s="500">
        <v>2134.9373986636178</v>
      </c>
      <c r="F108" s="501"/>
      <c r="G108" s="497">
        <v>2.6468503917216228</v>
      </c>
      <c r="H108" s="497"/>
      <c r="I108" s="497">
        <v>0.71009568636305809</v>
      </c>
      <c r="J108" s="497"/>
    </row>
    <row r="109" spans="2:10" ht="15" hidden="1" outlineLevel="1">
      <c r="B109" s="394"/>
      <c r="C109" s="498" t="s">
        <v>40</v>
      </c>
      <c r="D109" s="499"/>
      <c r="E109" s="500">
        <v>2070.3375878242396</v>
      </c>
      <c r="F109" s="501"/>
      <c r="G109" s="497">
        <v>2.566760907724396</v>
      </c>
      <c r="H109" s="497"/>
      <c r="I109" s="497">
        <v>0.68860932004354625</v>
      </c>
      <c r="J109" s="497"/>
    </row>
    <row r="110" spans="2:10" ht="15" collapsed="1">
      <c r="B110" s="609" t="s">
        <v>17</v>
      </c>
      <c r="C110" s="610"/>
      <c r="D110" s="394"/>
      <c r="E110" s="282">
        <v>11448.279367029791</v>
      </c>
      <c r="F110" s="502"/>
      <c r="G110" s="296">
        <v>14.193335479592561</v>
      </c>
      <c r="H110" s="296"/>
      <c r="I110" s="296">
        <v>3.8077808744629729</v>
      </c>
      <c r="J110" s="296"/>
    </row>
    <row r="111" spans="2:10" ht="5.0999999999999996" customHeight="1">
      <c r="B111" s="504"/>
      <c r="C111" s="395"/>
      <c r="D111" s="394"/>
      <c r="E111" s="464"/>
      <c r="F111" s="502"/>
      <c r="G111" s="465"/>
      <c r="H111" s="465"/>
      <c r="I111" s="465"/>
      <c r="J111" s="465"/>
    </row>
    <row r="112" spans="2:10" ht="15" customHeight="1">
      <c r="B112" s="609" t="s">
        <v>16</v>
      </c>
      <c r="C112" s="610"/>
      <c r="D112" s="394"/>
      <c r="E112" s="282">
        <v>15459.514446174826</v>
      </c>
      <c r="F112" s="502"/>
      <c r="G112" s="296">
        <v>19.166380191427407</v>
      </c>
      <c r="H112" s="296"/>
      <c r="I112" s="296">
        <v>5.141946798237611</v>
      </c>
      <c r="J112" s="296"/>
    </row>
    <row r="113" spans="2:10" ht="5.0999999999999996" customHeight="1">
      <c r="B113" s="504"/>
      <c r="C113" s="395"/>
      <c r="D113" s="394"/>
      <c r="E113" s="464"/>
      <c r="F113" s="502"/>
      <c r="G113" s="465"/>
      <c r="H113" s="465"/>
      <c r="I113" s="465"/>
      <c r="J113" s="465"/>
    </row>
    <row r="114" spans="2:10" ht="15" hidden="1" outlineLevel="1">
      <c r="B114" s="394"/>
      <c r="C114" s="498" t="s">
        <v>18</v>
      </c>
      <c r="D114" s="499"/>
      <c r="E114" s="500">
        <v>8133.2932023085805</v>
      </c>
      <c r="F114" s="501"/>
      <c r="G114" s="497">
        <v>10.083485497978849</v>
      </c>
      <c r="H114" s="497"/>
      <c r="I114" s="497">
        <v>2.7051923969763596</v>
      </c>
      <c r="J114" s="497"/>
    </row>
    <row r="115" spans="2:10" ht="15" hidden="1" outlineLevel="1">
      <c r="B115" s="580"/>
      <c r="C115" s="498" t="s">
        <v>300</v>
      </c>
      <c r="D115" s="499"/>
      <c r="E115" s="500">
        <v>6178.5241499379217</v>
      </c>
      <c r="F115" s="501"/>
      <c r="G115" s="497">
        <v>7.6600040248306049</v>
      </c>
      <c r="H115" s="497"/>
      <c r="I115" s="497">
        <v>2.0550220112810766</v>
      </c>
      <c r="J115" s="497"/>
    </row>
    <row r="116" spans="2:10" ht="15" hidden="1" outlineLevel="1">
      <c r="B116" s="394"/>
      <c r="C116" s="498" t="s">
        <v>301</v>
      </c>
      <c r="D116" s="499"/>
      <c r="E116" s="500">
        <v>2480.4593849463818</v>
      </c>
      <c r="F116" s="501"/>
      <c r="G116" s="497">
        <v>3.0752212682229358</v>
      </c>
      <c r="H116" s="497"/>
      <c r="I116" s="497">
        <v>0.82501880877243994</v>
      </c>
      <c r="J116" s="497"/>
    </row>
    <row r="117" spans="2:10" ht="15" collapsed="1">
      <c r="B117" s="609" t="s">
        <v>298</v>
      </c>
      <c r="C117" s="610"/>
      <c r="D117" s="394"/>
      <c r="E117" s="282">
        <v>16792.276737192886</v>
      </c>
      <c r="F117" s="502"/>
      <c r="G117" s="296">
        <v>20.818710791032391</v>
      </c>
      <c r="H117" s="296"/>
      <c r="I117" s="296">
        <v>5.5852332170298773</v>
      </c>
      <c r="J117" s="296"/>
    </row>
    <row r="118" spans="2:10" ht="5.0999999999999996" customHeight="1">
      <c r="B118" s="504"/>
      <c r="C118" s="395"/>
      <c r="D118" s="394"/>
      <c r="E118" s="282"/>
      <c r="F118" s="502"/>
      <c r="G118" s="296"/>
      <c r="H118" s="296"/>
      <c r="I118" s="296"/>
      <c r="J118" s="296"/>
    </row>
    <row r="119" spans="2:10" ht="15" hidden="1" outlineLevel="1">
      <c r="B119" s="394"/>
      <c r="C119" s="498" t="s">
        <v>344</v>
      </c>
      <c r="D119" s="499"/>
      <c r="E119" s="500">
        <v>4821.4485333333341</v>
      </c>
      <c r="F119" s="501"/>
      <c r="G119" s="497">
        <v>5.9775302765819944</v>
      </c>
      <c r="H119" s="497"/>
      <c r="I119" s="497">
        <v>1.60364880379377</v>
      </c>
      <c r="J119" s="497"/>
    </row>
    <row r="120" spans="2:10" ht="15" hidden="1" outlineLevel="1">
      <c r="B120" s="394"/>
      <c r="C120" s="498" t="s">
        <v>345</v>
      </c>
      <c r="D120" s="499"/>
      <c r="E120" s="500">
        <v>4502.6501333333335</v>
      </c>
      <c r="F120" s="501"/>
      <c r="G120" s="497">
        <v>5.5822907391377496</v>
      </c>
      <c r="H120" s="497"/>
      <c r="I120" s="497">
        <v>1.4976141402944336</v>
      </c>
      <c r="J120" s="497"/>
    </row>
    <row r="121" spans="2:10" ht="15" hidden="1" outlineLevel="1">
      <c r="B121" s="580"/>
      <c r="C121" s="498" t="s">
        <v>346</v>
      </c>
      <c r="D121" s="499"/>
      <c r="E121" s="500">
        <v>809.79176190476198</v>
      </c>
      <c r="F121" s="501"/>
      <c r="G121" s="497">
        <v>1.0039627595414462</v>
      </c>
      <c r="H121" s="497"/>
      <c r="I121" s="497">
        <v>0.26934262210257631</v>
      </c>
      <c r="J121" s="497"/>
    </row>
    <row r="122" spans="2:10" ht="15" hidden="1" outlineLevel="1">
      <c r="B122" s="394"/>
      <c r="C122" s="498" t="s">
        <v>189</v>
      </c>
      <c r="D122" s="499"/>
      <c r="E122" s="500">
        <v>2570.5558571428573</v>
      </c>
      <c r="F122" s="501"/>
      <c r="G122" s="497">
        <v>3.1869209756126002</v>
      </c>
      <c r="H122" s="497"/>
      <c r="I122" s="497">
        <v>0.85498554985969311</v>
      </c>
      <c r="J122" s="497"/>
    </row>
    <row r="123" spans="2:10" ht="15" hidden="1" outlineLevel="1">
      <c r="B123" s="394"/>
      <c r="C123" s="498" t="s">
        <v>233</v>
      </c>
      <c r="D123" s="499"/>
      <c r="E123" s="500">
        <v>7909.0591101006166</v>
      </c>
      <c r="F123" s="501"/>
      <c r="G123" s="497">
        <v>9.8054847963332143</v>
      </c>
      <c r="H123" s="497"/>
      <c r="I123" s="497">
        <v>2.6306105091364249</v>
      </c>
      <c r="J123" s="497"/>
    </row>
    <row r="124" spans="2:10" ht="15" customHeight="1" collapsed="1">
      <c r="B124" s="609" t="s">
        <v>19</v>
      </c>
      <c r="C124" s="610"/>
      <c r="D124" s="394"/>
      <c r="E124" s="282">
        <v>20613.505395814904</v>
      </c>
      <c r="F124" s="502"/>
      <c r="G124" s="296">
        <v>25.556189547207005</v>
      </c>
      <c r="H124" s="296"/>
      <c r="I124" s="296">
        <v>6.8562016251868982</v>
      </c>
      <c r="J124" s="296"/>
    </row>
    <row r="125" spans="2:10" ht="5.0999999999999996" customHeight="1">
      <c r="B125" s="504"/>
      <c r="C125" s="395"/>
      <c r="D125" s="394"/>
      <c r="E125" s="282"/>
      <c r="F125" s="502"/>
      <c r="G125" s="296"/>
      <c r="H125" s="296"/>
      <c r="I125" s="296"/>
      <c r="J125" s="296"/>
    </row>
    <row r="126" spans="2:10" ht="15" hidden="1" outlineLevel="1">
      <c r="B126" s="394"/>
      <c r="C126" s="498" t="s">
        <v>107</v>
      </c>
      <c r="D126" s="499"/>
      <c r="E126" s="500">
        <v>7236.0020892857137</v>
      </c>
      <c r="F126" s="501"/>
      <c r="G126" s="497">
        <v>8.9710428870247512</v>
      </c>
      <c r="H126" s="497"/>
      <c r="I126" s="497">
        <v>2.406746855121932</v>
      </c>
      <c r="J126" s="497"/>
    </row>
    <row r="127" spans="2:10" ht="15" hidden="1" outlineLevel="1">
      <c r="B127" s="394"/>
      <c r="C127" s="498" t="s">
        <v>48</v>
      </c>
      <c r="D127" s="499"/>
      <c r="E127" s="500">
        <v>2694.0248815476189</v>
      </c>
      <c r="F127" s="501"/>
      <c r="G127" s="497">
        <v>3.3399952698826785</v>
      </c>
      <c r="H127" s="497"/>
      <c r="I127" s="497">
        <v>0.89605224421998553</v>
      </c>
      <c r="J127" s="497"/>
    </row>
    <row r="128" spans="2:10" ht="15" hidden="1" outlineLevel="1">
      <c r="B128" s="394"/>
      <c r="C128" s="498" t="s">
        <v>238</v>
      </c>
      <c r="D128" s="499"/>
      <c r="E128" s="500">
        <v>1402.6335870614348</v>
      </c>
      <c r="F128" s="501"/>
      <c r="G128" s="497">
        <v>1.7389555598582764</v>
      </c>
      <c r="H128" s="497"/>
      <c r="I128" s="497">
        <v>0.46652611938117006</v>
      </c>
      <c r="J128" s="497"/>
    </row>
    <row r="129" spans="2:10" ht="15" customHeight="1" collapsed="1">
      <c r="B129" s="609" t="s">
        <v>20</v>
      </c>
      <c r="C129" s="610"/>
      <c r="D129" s="394"/>
      <c r="E129" s="282">
        <v>11332.660557894767</v>
      </c>
      <c r="F129" s="502"/>
      <c r="G129" s="296">
        <v>14.049993716765705</v>
      </c>
      <c r="H129" s="296"/>
      <c r="I129" s="296">
        <v>3.7693252187230879</v>
      </c>
      <c r="J129" s="296"/>
    </row>
    <row r="130" spans="2:10" ht="5.0999999999999996" customHeight="1">
      <c r="B130" s="504"/>
      <c r="C130" s="395"/>
      <c r="D130" s="394"/>
      <c r="E130" s="282"/>
      <c r="F130" s="502"/>
      <c r="G130" s="296"/>
      <c r="H130" s="296"/>
      <c r="I130" s="296"/>
      <c r="J130" s="296"/>
    </row>
    <row r="131" spans="2:10" ht="15" customHeight="1">
      <c r="B131" s="609" t="s">
        <v>22</v>
      </c>
      <c r="C131" s="610"/>
      <c r="D131" s="394"/>
      <c r="E131" s="282">
        <v>2177.807629180887</v>
      </c>
      <c r="F131" s="502"/>
      <c r="G131" s="296">
        <v>2.7000000000000006</v>
      </c>
      <c r="H131" s="296"/>
      <c r="I131" s="296">
        <v>0.72435463643005216</v>
      </c>
      <c r="J131" s="296"/>
    </row>
    <row r="132" spans="2:10" ht="5.0999999999999996" customHeight="1">
      <c r="B132" s="254"/>
      <c r="C132" s="295"/>
      <c r="D132" s="228"/>
      <c r="E132" s="464"/>
      <c r="F132" s="297"/>
      <c r="G132" s="465"/>
      <c r="H132" s="465"/>
      <c r="I132" s="465"/>
      <c r="J132" s="465"/>
    </row>
    <row r="133" spans="2:10" ht="15" hidden="1" customHeight="1" outlineLevel="1">
      <c r="B133" s="394"/>
      <c r="C133" s="498" t="s">
        <v>193</v>
      </c>
      <c r="D133" s="510"/>
      <c r="E133" s="500">
        <v>46.381866666666674</v>
      </c>
      <c r="F133" s="508"/>
      <c r="G133" s="497">
        <v>5.7503260766471699E-2</v>
      </c>
      <c r="H133" s="497"/>
      <c r="I133" s="497">
        <v>1.5426945757792621E-2</v>
      </c>
      <c r="J133" s="497"/>
    </row>
    <row r="134" spans="2:10" ht="15" hidden="1" customHeight="1" outlineLevel="1">
      <c r="B134" s="394"/>
      <c r="C134" s="498" t="s">
        <v>239</v>
      </c>
      <c r="D134" s="510"/>
      <c r="E134" s="500">
        <v>456.65511000000004</v>
      </c>
      <c r="F134" s="508"/>
      <c r="G134" s="497">
        <v>0.56615138108582275</v>
      </c>
      <c r="H134" s="497"/>
      <c r="I134" s="497">
        <v>0.15188680659658996</v>
      </c>
      <c r="J134" s="497"/>
    </row>
    <row r="135" spans="2:10" ht="15" hidden="1" customHeight="1" outlineLevel="1">
      <c r="B135" s="394"/>
      <c r="C135" s="498" t="s">
        <v>240</v>
      </c>
      <c r="D135" s="510"/>
      <c r="E135" s="500">
        <v>102.80249571428573</v>
      </c>
      <c r="F135" s="508"/>
      <c r="G135" s="497">
        <v>0.12745236755964962</v>
      </c>
      <c r="H135" s="497"/>
      <c r="I135" s="497">
        <v>3.4192856802155315E-2</v>
      </c>
      <c r="J135" s="497"/>
    </row>
    <row r="136" spans="2:10" ht="15" hidden="1" customHeight="1" outlineLevel="1">
      <c r="B136" s="394"/>
      <c r="C136" s="498" t="s">
        <v>196</v>
      </c>
      <c r="D136" s="510"/>
      <c r="E136" s="500">
        <v>173.93965000000003</v>
      </c>
      <c r="F136" s="508"/>
      <c r="G136" s="497">
        <v>0.21564671218304035</v>
      </c>
      <c r="H136" s="497"/>
      <c r="I136" s="497">
        <v>5.7853591037289723E-2</v>
      </c>
      <c r="J136" s="497"/>
    </row>
    <row r="137" spans="2:10" ht="15" hidden="1" customHeight="1" outlineLevel="1">
      <c r="B137" s="394"/>
      <c r="C137" s="498" t="s">
        <v>197</v>
      </c>
      <c r="D137" s="510"/>
      <c r="E137" s="500">
        <v>22.718314285714285</v>
      </c>
      <c r="F137" s="508"/>
      <c r="G137" s="497">
        <v>2.8165687248739902E-2</v>
      </c>
      <c r="H137" s="497"/>
      <c r="I137" s="497">
        <v>7.5562763506902006E-3</v>
      </c>
      <c r="J137" s="497"/>
    </row>
    <row r="138" spans="2:10" ht="15" hidden="1" customHeight="1" outlineLevel="1">
      <c r="B138" s="394"/>
      <c r="C138" s="498" t="s">
        <v>198</v>
      </c>
      <c r="D138" s="510"/>
      <c r="E138" s="500">
        <v>672.11717440476195</v>
      </c>
      <c r="F138" s="508"/>
      <c r="G138" s="497">
        <v>0.83327670753702221</v>
      </c>
      <c r="H138" s="497"/>
      <c r="I138" s="497">
        <v>0.22355105427170757</v>
      </c>
      <c r="J138" s="497"/>
    </row>
    <row r="139" spans="2:10" ht="15" hidden="1" customHeight="1" outlineLevel="1">
      <c r="B139" s="394"/>
      <c r="C139" s="498" t="s">
        <v>199</v>
      </c>
      <c r="D139" s="510"/>
      <c r="E139" s="500">
        <v>630.91667614628898</v>
      </c>
      <c r="F139" s="508"/>
      <c r="G139" s="497">
        <v>0.78219719812244781</v>
      </c>
      <c r="H139" s="497"/>
      <c r="I139" s="497">
        <v>0.20984746928244111</v>
      </c>
      <c r="J139" s="497"/>
    </row>
    <row r="140" spans="2:10" ht="15" hidden="1" customHeight="1" outlineLevel="1">
      <c r="B140" s="394"/>
      <c r="C140" s="498" t="s">
        <v>46</v>
      </c>
      <c r="D140" s="510"/>
      <c r="E140" s="500">
        <v>84.496369047619069</v>
      </c>
      <c r="F140" s="508"/>
      <c r="G140" s="497">
        <v>0.10475681753139014</v>
      </c>
      <c r="H140" s="497"/>
      <c r="I140" s="497">
        <v>2.8104106102414591E-2</v>
      </c>
      <c r="J140" s="497"/>
    </row>
    <row r="141" spans="2:10" ht="15" customHeight="1" collapsed="1">
      <c r="B141" s="609" t="s">
        <v>23</v>
      </c>
      <c r="C141" s="610"/>
      <c r="D141" s="228"/>
      <c r="E141" s="282">
        <v>2190.0276562653371</v>
      </c>
      <c r="F141" s="297"/>
      <c r="G141" s="296">
        <v>2.7151501320345846</v>
      </c>
      <c r="H141" s="296"/>
      <c r="I141" s="296">
        <v>0.72841910620108108</v>
      </c>
      <c r="J141" s="296"/>
    </row>
    <row r="142" spans="2:10" ht="5.0999999999999996" customHeight="1">
      <c r="B142" s="254"/>
      <c r="C142" s="295"/>
      <c r="D142" s="228"/>
      <c r="E142" s="514"/>
      <c r="F142" s="297"/>
      <c r="G142" s="515"/>
      <c r="H142" s="515"/>
      <c r="I142" s="515"/>
      <c r="J142" s="515"/>
    </row>
    <row r="143" spans="2:10" ht="15" hidden="1" outlineLevel="1">
      <c r="B143" s="394"/>
      <c r="C143" s="498" t="s">
        <v>125</v>
      </c>
      <c r="D143" s="510"/>
      <c r="E143" s="500">
        <v>6412.3445821420501</v>
      </c>
      <c r="F143" s="508"/>
      <c r="G143" s="497">
        <v>7.9498896687653708</v>
      </c>
      <c r="H143" s="497"/>
      <c r="I143" s="497">
        <v>2.1327923854361357</v>
      </c>
      <c r="J143" s="497"/>
    </row>
    <row r="144" spans="2:10" ht="15" hidden="1" outlineLevel="1">
      <c r="B144" s="394"/>
      <c r="C144" s="498" t="s">
        <v>126</v>
      </c>
      <c r="D144" s="510"/>
      <c r="E144" s="500">
        <v>1652.6704547459124</v>
      </c>
      <c r="F144" s="508"/>
      <c r="G144" s="497">
        <v>2.0489459987300545</v>
      </c>
      <c r="H144" s="497"/>
      <c r="I144" s="497">
        <v>0.54969019776848826</v>
      </c>
      <c r="J144" s="497"/>
    </row>
    <row r="145" spans="2:10" ht="15" customHeight="1" collapsed="1">
      <c r="B145" s="609" t="s">
        <v>24</v>
      </c>
      <c r="C145" s="610"/>
      <c r="D145" s="228"/>
      <c r="E145" s="282">
        <v>8065.0150368879622</v>
      </c>
      <c r="F145" s="297"/>
      <c r="G145" s="296">
        <v>9.9988356674954257</v>
      </c>
      <c r="H145" s="296"/>
      <c r="I145" s="296">
        <v>2.682482583204624</v>
      </c>
      <c r="J145" s="296"/>
    </row>
    <row r="146" spans="2:10" ht="5.0999999999999996" customHeight="1">
      <c r="B146" s="277"/>
      <c r="C146" s="516"/>
      <c r="D146" s="277"/>
      <c r="E146" s="517"/>
      <c r="F146" s="474"/>
      <c r="G146" s="518"/>
      <c r="H146" s="518"/>
      <c r="I146" s="518"/>
      <c r="J146" s="518"/>
    </row>
    <row r="147" spans="2:10" ht="25.5" customHeight="1">
      <c r="B147" s="611" t="s">
        <v>127</v>
      </c>
      <c r="C147" s="611"/>
      <c r="D147" s="308"/>
      <c r="E147" s="519">
        <v>615473.29740754399</v>
      </c>
      <c r="F147" s="520"/>
      <c r="G147" s="521">
        <v>763.05082264102202</v>
      </c>
      <c r="H147" s="521"/>
      <c r="I147" s="521">
        <v>204.7108893376998</v>
      </c>
      <c r="J147" s="521"/>
    </row>
    <row r="148" spans="2:10" ht="5.0999999999999996" customHeight="1">
      <c r="B148" s="231"/>
      <c r="C148" s="231"/>
      <c r="D148" s="228"/>
      <c r="E148" s="269"/>
      <c r="F148" s="297"/>
      <c r="G148" s="310"/>
      <c r="H148" s="310"/>
      <c r="I148" s="310"/>
      <c r="J148" s="310"/>
    </row>
    <row r="149" spans="2:10" ht="15">
      <c r="B149" s="522" t="s">
        <v>128</v>
      </c>
      <c r="C149" s="486"/>
      <c r="D149" s="523"/>
      <c r="E149" s="524"/>
      <c r="F149" s="525"/>
      <c r="G149" s="526"/>
      <c r="H149" s="526"/>
      <c r="I149" s="526"/>
      <c r="J149" s="526"/>
    </row>
    <row r="150" spans="2:10" ht="5.0999999999999996" customHeight="1">
      <c r="B150" s="231"/>
      <c r="C150" s="295"/>
      <c r="D150" s="228"/>
      <c r="E150" s="269"/>
      <c r="F150" s="297"/>
      <c r="G150" s="310"/>
      <c r="H150" s="310"/>
      <c r="I150" s="310"/>
      <c r="J150" s="310"/>
    </row>
    <row r="151" spans="2:10" ht="15" hidden="1" outlineLevel="1">
      <c r="B151" s="394"/>
      <c r="C151" s="503" t="s">
        <v>129</v>
      </c>
      <c r="D151" s="510"/>
      <c r="E151" s="500">
        <v>12314.756313188494</v>
      </c>
      <c r="F151" s="508"/>
      <c r="G151" s="497">
        <v>15.267575335896318</v>
      </c>
      <c r="H151" s="497"/>
      <c r="I151" s="497">
        <v>4.0959774005931866</v>
      </c>
      <c r="J151" s="497"/>
    </row>
    <row r="152" spans="2:10" ht="15" hidden="1" customHeight="1" outlineLevel="1">
      <c r="B152" s="394"/>
      <c r="C152" s="503" t="s">
        <v>107</v>
      </c>
      <c r="D152" s="510"/>
      <c r="E152" s="500">
        <v>1487.5789869047619</v>
      </c>
      <c r="F152" s="508"/>
      <c r="G152" s="497">
        <v>1.8442690763065803</v>
      </c>
      <c r="H152" s="497"/>
      <c r="I152" s="497">
        <v>0.4947795763878669</v>
      </c>
      <c r="J152" s="497"/>
    </row>
    <row r="153" spans="2:10" ht="15" customHeight="1" collapsed="1">
      <c r="B153" s="609" t="s">
        <v>200</v>
      </c>
      <c r="C153" s="610"/>
      <c r="D153" s="228"/>
      <c r="E153" s="282">
        <v>13802.335300093257</v>
      </c>
      <c r="F153" s="297"/>
      <c r="G153" s="296">
        <v>17.111844412202899</v>
      </c>
      <c r="H153" s="296"/>
      <c r="I153" s="296">
        <v>4.5907569769810532</v>
      </c>
      <c r="J153" s="296"/>
    </row>
    <row r="154" spans="2:10" ht="5.0999999999999996" customHeight="1">
      <c r="B154" s="231"/>
      <c r="C154" s="295"/>
      <c r="D154" s="228"/>
      <c r="E154" s="269"/>
      <c r="F154" s="297"/>
      <c r="G154" s="310"/>
      <c r="H154" s="310"/>
      <c r="I154" s="310"/>
      <c r="J154" s="310"/>
    </row>
    <row r="155" spans="2:10" ht="15" hidden="1" outlineLevel="1">
      <c r="B155" s="231"/>
      <c r="C155" s="498" t="s">
        <v>130</v>
      </c>
      <c r="D155" s="510"/>
      <c r="E155" s="500">
        <v>8425.1347544385826</v>
      </c>
      <c r="F155" s="508"/>
      <c r="G155" s="497">
        <v>10.445304503566305</v>
      </c>
      <c r="H155" s="497"/>
      <c r="I155" s="497">
        <v>2.8022610170673912</v>
      </c>
      <c r="J155" s="497"/>
    </row>
    <row r="156" spans="2:10" ht="15" hidden="1" outlineLevel="1">
      <c r="B156" s="231"/>
      <c r="C156" s="498" t="s">
        <v>131</v>
      </c>
      <c r="D156" s="510"/>
      <c r="E156" s="500">
        <v>783.96313536322498</v>
      </c>
      <c r="F156" s="508"/>
      <c r="G156" s="497">
        <v>0.97194097270971425</v>
      </c>
      <c r="H156" s="497"/>
      <c r="I156" s="497">
        <v>0.26075183330319118</v>
      </c>
      <c r="J156" s="497"/>
    </row>
    <row r="157" spans="2:10" ht="15" collapsed="1">
      <c r="B157" s="231" t="s">
        <v>49</v>
      </c>
      <c r="C157" s="295"/>
      <c r="D157" s="228"/>
      <c r="E157" s="282">
        <v>9209.0978898018075</v>
      </c>
      <c r="F157" s="297"/>
      <c r="G157" s="296">
        <v>11.417245476276019</v>
      </c>
      <c r="H157" s="296"/>
      <c r="I157" s="296">
        <v>3.0630128503705825</v>
      </c>
      <c r="J157" s="296"/>
    </row>
    <row r="158" spans="2:10" ht="5.0999999999999996" customHeight="1">
      <c r="B158" s="231"/>
      <c r="C158" s="295"/>
      <c r="D158" s="228"/>
      <c r="E158" s="282"/>
      <c r="F158" s="297"/>
      <c r="G158" s="296"/>
      <c r="H158" s="296"/>
      <c r="I158" s="296"/>
      <c r="J158" s="296"/>
    </row>
    <row r="159" spans="2:10" ht="15" hidden="1" outlineLevel="1">
      <c r="B159" s="231"/>
      <c r="C159" s="498" t="s">
        <v>53</v>
      </c>
      <c r="D159" s="510"/>
      <c r="E159" s="500">
        <v>8497.3118548270395</v>
      </c>
      <c r="F159" s="508"/>
      <c r="G159" s="497">
        <v>10.534788151450362</v>
      </c>
      <c r="H159" s="497"/>
      <c r="I159" s="497">
        <v>2.8262676449301654</v>
      </c>
      <c r="J159" s="497"/>
    </row>
    <row r="160" spans="2:10" ht="15" hidden="1" outlineLevel="1">
      <c r="B160" s="231"/>
      <c r="C160" s="498" t="s">
        <v>54</v>
      </c>
      <c r="D160" s="510"/>
      <c r="E160" s="500">
        <v>-6556.7564844853905</v>
      </c>
      <c r="F160" s="508"/>
      <c r="G160" s="497">
        <v>-8.128928501719443</v>
      </c>
      <c r="H160" s="497"/>
      <c r="I160" s="497">
        <v>-2.1808248331218052</v>
      </c>
      <c r="J160" s="497"/>
    </row>
    <row r="161" spans="2:10" ht="15" collapsed="1">
      <c r="B161" s="231" t="s">
        <v>28</v>
      </c>
      <c r="C161" s="295"/>
      <c r="D161" s="228"/>
      <c r="E161" s="282">
        <v>1940.555370341649</v>
      </c>
      <c r="F161" s="297"/>
      <c r="G161" s="296">
        <v>2.4058596497309193</v>
      </c>
      <c r="H161" s="296"/>
      <c r="I161" s="296">
        <v>0.64544281180836016</v>
      </c>
      <c r="J161" s="296"/>
    </row>
    <row r="162" spans="2:10" ht="5.0999999999999996" customHeight="1">
      <c r="B162" s="231"/>
      <c r="C162" s="295"/>
      <c r="D162" s="228"/>
      <c r="E162" s="325"/>
      <c r="F162" s="297"/>
      <c r="G162" s="321"/>
      <c r="H162" s="321"/>
      <c r="I162" s="321"/>
      <c r="J162" s="321"/>
    </row>
    <row r="163" spans="2:10" ht="15">
      <c r="B163" s="231" t="s">
        <v>29</v>
      </c>
      <c r="C163" s="295"/>
      <c r="D163" s="228"/>
      <c r="E163" s="282">
        <v>19248.890775579981</v>
      </c>
      <c r="F163" s="297"/>
      <c r="G163" s="296">
        <v>23.864369101146725</v>
      </c>
      <c r="H163" s="296"/>
      <c r="I163" s="296">
        <v>6.4023208903310005</v>
      </c>
      <c r="J163" s="296"/>
    </row>
    <row r="164" spans="2:10" ht="5.0999999999999996" customHeight="1">
      <c r="B164" s="231"/>
      <c r="C164" s="295"/>
      <c r="D164" s="228"/>
      <c r="E164" s="325"/>
      <c r="F164" s="297"/>
      <c r="G164" s="321"/>
      <c r="H164" s="321"/>
      <c r="I164" s="321"/>
      <c r="J164" s="321"/>
    </row>
    <row r="165" spans="2:10" ht="15" hidden="1" outlineLevel="1">
      <c r="B165" s="231"/>
      <c r="C165" s="498" t="s">
        <v>57</v>
      </c>
      <c r="D165" s="510"/>
      <c r="E165" s="500">
        <v>833.2653544563675</v>
      </c>
      <c r="F165" s="508"/>
      <c r="G165" s="497">
        <v>1.0330648248662759</v>
      </c>
      <c r="H165" s="497"/>
      <c r="I165" s="497">
        <v>0.27715010949062469</v>
      </c>
      <c r="J165" s="497"/>
    </row>
    <row r="166" spans="2:10" ht="15" hidden="1" outlineLevel="1">
      <c r="B166" s="231"/>
      <c r="C166" s="498" t="s">
        <v>55</v>
      </c>
      <c r="D166" s="510"/>
      <c r="E166" s="500">
        <v>1468.9842814344579</v>
      </c>
      <c r="F166" s="508"/>
      <c r="G166" s="497">
        <v>1.8212157523595502</v>
      </c>
      <c r="H166" s="497"/>
      <c r="I166" s="497">
        <v>0.48859484228188349</v>
      </c>
      <c r="J166" s="497"/>
    </row>
    <row r="167" spans="2:10" ht="15" hidden="1" outlineLevel="1">
      <c r="B167" s="231"/>
      <c r="C167" s="498" t="s">
        <v>202</v>
      </c>
      <c r="D167" s="510"/>
      <c r="E167" s="500">
        <v>6165.0838672237587</v>
      </c>
      <c r="F167" s="508"/>
      <c r="G167" s="497">
        <v>7.6433410455839539</v>
      </c>
      <c r="H167" s="497"/>
      <c r="I167" s="497">
        <v>2.0505516756240216</v>
      </c>
      <c r="J167" s="497"/>
    </row>
    <row r="168" spans="2:10" ht="15" hidden="1" outlineLevel="1">
      <c r="B168" s="231"/>
      <c r="C168" s="498" t="s">
        <v>56</v>
      </c>
      <c r="D168" s="510"/>
      <c r="E168" s="500">
        <v>590.5236207617836</v>
      </c>
      <c r="F168" s="508"/>
      <c r="G168" s="497">
        <v>0.73211873936565464</v>
      </c>
      <c r="H168" s="497"/>
      <c r="I168" s="497">
        <v>0.19641244565808771</v>
      </c>
      <c r="J168" s="497"/>
    </row>
    <row r="169" spans="2:10" ht="15" hidden="1" outlineLevel="1">
      <c r="B169" s="231"/>
      <c r="C169" s="498" t="s">
        <v>203</v>
      </c>
      <c r="D169" s="510"/>
      <c r="E169" s="500">
        <v>662.61965592713648</v>
      </c>
      <c r="F169" s="508"/>
      <c r="G169" s="497">
        <v>0.8215018842946068</v>
      </c>
      <c r="H169" s="497"/>
      <c r="I169" s="497">
        <v>0.22039211063882314</v>
      </c>
      <c r="J169" s="497"/>
    </row>
    <row r="170" spans="2:10" ht="15" hidden="1" outlineLevel="1">
      <c r="B170" s="231"/>
      <c r="C170" s="498" t="s">
        <v>204</v>
      </c>
      <c r="D170" s="510"/>
      <c r="E170" s="500">
        <v>770.84565952380967</v>
      </c>
      <c r="F170" s="508"/>
      <c r="G170" s="497">
        <v>0.95567820262301817</v>
      </c>
      <c r="H170" s="497"/>
      <c r="I170" s="497">
        <v>0.25638886555745255</v>
      </c>
      <c r="J170" s="497"/>
    </row>
    <row r="171" spans="2:10" ht="15" hidden="1" outlineLevel="1">
      <c r="B171" s="231"/>
      <c r="C171" s="498" t="s">
        <v>30</v>
      </c>
      <c r="D171" s="510"/>
      <c r="E171" s="500">
        <v>1159.13511453316</v>
      </c>
      <c r="F171" s="508"/>
      <c r="G171" s="497">
        <v>1.4370712855003895</v>
      </c>
      <c r="H171" s="497"/>
      <c r="I171" s="497">
        <v>0.38553675871581555</v>
      </c>
      <c r="J171" s="497"/>
    </row>
    <row r="172" spans="2:10" ht="15" collapsed="1">
      <c r="B172" s="231" t="s">
        <v>30</v>
      </c>
      <c r="C172" s="295"/>
      <c r="D172" s="228"/>
      <c r="E172" s="282">
        <v>11650.457553860473</v>
      </c>
      <c r="F172" s="297"/>
      <c r="G172" s="296">
        <v>14.44399173459345</v>
      </c>
      <c r="H172" s="296"/>
      <c r="I172" s="296">
        <v>3.8750268079667087</v>
      </c>
      <c r="J172" s="296"/>
    </row>
    <row r="173" spans="2:10" ht="5.0999999999999996" customHeight="1">
      <c r="B173" s="277"/>
      <c r="C173" s="516"/>
      <c r="D173" s="277"/>
      <c r="E173" s="517"/>
      <c r="F173" s="474"/>
      <c r="G173" s="518"/>
      <c r="H173" s="518"/>
      <c r="I173" s="518"/>
      <c r="J173" s="518"/>
    </row>
    <row r="174" spans="2:10" ht="25.5" customHeight="1">
      <c r="B174" s="611" t="s">
        <v>132</v>
      </c>
      <c r="C174" s="611"/>
      <c r="D174" s="308"/>
      <c r="E174" s="519">
        <v>55851.336889677157</v>
      </c>
      <c r="F174" s="520"/>
      <c r="G174" s="521">
        <v>69.24331037395001</v>
      </c>
      <c r="H174" s="521"/>
      <c r="I174" s="521">
        <v>18.576560337457707</v>
      </c>
      <c r="J174" s="521"/>
    </row>
    <row r="175" spans="2:10" ht="9.9499999999999993" customHeight="1">
      <c r="B175" s="231"/>
      <c r="C175" s="231"/>
      <c r="D175" s="228"/>
      <c r="E175" s="269"/>
      <c r="F175" s="297"/>
      <c r="G175" s="310"/>
      <c r="H175" s="310"/>
      <c r="I175" s="310"/>
      <c r="J175" s="310"/>
    </row>
    <row r="176" spans="2:10" ht="15" hidden="1" outlineLevel="1">
      <c r="B176" s="231"/>
      <c r="C176" s="498" t="s">
        <v>133</v>
      </c>
      <c r="D176" s="510"/>
      <c r="E176" s="500">
        <v>28144.076397511602</v>
      </c>
      <c r="F176" s="508"/>
      <c r="G176" s="497">
        <v>34.89243276361475</v>
      </c>
      <c r="H176" s="497"/>
      <c r="I176" s="497">
        <v>9.3609242402400739</v>
      </c>
      <c r="J176" s="497"/>
    </row>
    <row r="177" spans="2:10" ht="15" hidden="1" outlineLevel="1">
      <c r="B177" s="231"/>
      <c r="C177" s="503" t="s">
        <v>129</v>
      </c>
      <c r="D177" s="510"/>
      <c r="E177" s="500">
        <v>19193.62806101039</v>
      </c>
      <c r="F177" s="508"/>
      <c r="G177" s="497">
        <v>23.795855552319633</v>
      </c>
      <c r="H177" s="497"/>
      <c r="I177" s="497">
        <v>6.3839401100527855</v>
      </c>
      <c r="J177" s="497"/>
    </row>
    <row r="178" spans="2:10" ht="15" hidden="1" outlineLevel="1">
      <c r="B178" s="231"/>
      <c r="C178" s="503" t="s">
        <v>134</v>
      </c>
      <c r="D178" s="510"/>
      <c r="E178" s="500">
        <v>895.21167057099012</v>
      </c>
      <c r="F178" s="508"/>
      <c r="G178" s="497">
        <v>1.1098645620278125</v>
      </c>
      <c r="H178" s="497"/>
      <c r="I178" s="497">
        <v>0.29775390419046482</v>
      </c>
      <c r="J178" s="497"/>
    </row>
    <row r="179" spans="2:10" ht="15" collapsed="1">
      <c r="B179" s="231" t="s">
        <v>32</v>
      </c>
      <c r="C179" s="295"/>
      <c r="D179" s="228"/>
      <c r="E179" s="282">
        <v>48232.916129092984</v>
      </c>
      <c r="F179" s="297"/>
      <c r="G179" s="296">
        <v>59.798152877962195</v>
      </c>
      <c r="H179" s="296"/>
      <c r="I179" s="296">
        <v>16.042618254483322</v>
      </c>
      <c r="J179" s="296"/>
    </row>
    <row r="180" spans="2:10" ht="5.0999999999999996" customHeight="1">
      <c r="B180" s="231"/>
      <c r="C180" s="231"/>
      <c r="D180" s="228"/>
      <c r="E180" s="269"/>
      <c r="F180" s="297"/>
      <c r="G180" s="310"/>
      <c r="H180" s="310"/>
      <c r="I180" s="310"/>
      <c r="J180" s="310"/>
    </row>
    <row r="181" spans="2:10" ht="15">
      <c r="B181" s="527" t="s">
        <v>234</v>
      </c>
      <c r="C181" s="486"/>
      <c r="D181" s="523"/>
      <c r="E181" s="524"/>
      <c r="F181" s="525"/>
      <c r="G181" s="526"/>
      <c r="H181" s="526"/>
      <c r="I181" s="526"/>
      <c r="J181" s="526"/>
    </row>
    <row r="182" spans="2:10" ht="5.0999999999999996" customHeight="1">
      <c r="B182" s="231"/>
      <c r="C182" s="231"/>
      <c r="D182" s="528"/>
      <c r="E182" s="282"/>
      <c r="F182" s="297"/>
      <c r="G182" s="296"/>
      <c r="H182" s="296"/>
      <c r="I182" s="296"/>
      <c r="J182" s="296"/>
    </row>
    <row r="183" spans="2:10" ht="15">
      <c r="B183" s="231" t="s">
        <v>7</v>
      </c>
      <c r="C183" s="295"/>
      <c r="D183" s="228"/>
      <c r="E183" s="282">
        <v>64398.263352363902</v>
      </c>
      <c r="F183" s="297"/>
      <c r="G183" s="296">
        <v>79.83960967056592</v>
      </c>
      <c r="H183" s="296"/>
      <c r="I183" s="296">
        <v>21.41933016134816</v>
      </c>
      <c r="J183" s="296"/>
    </row>
    <row r="184" spans="2:10" ht="5.0999999999999996" customHeight="1">
      <c r="B184" s="504"/>
      <c r="C184" s="395"/>
      <c r="D184" s="394"/>
      <c r="E184" s="282"/>
      <c r="F184" s="502"/>
      <c r="G184" s="296"/>
      <c r="H184" s="296"/>
      <c r="I184" s="296"/>
      <c r="J184" s="296"/>
    </row>
    <row r="185" spans="2:10" ht="15" hidden="1" outlineLevel="1">
      <c r="B185" s="394"/>
      <c r="C185" s="498" t="s">
        <v>42</v>
      </c>
      <c r="D185" s="499"/>
      <c r="E185" s="500">
        <v>10100.637445968516</v>
      </c>
      <c r="F185" s="501"/>
      <c r="G185" s="497">
        <v>12.522557428257512</v>
      </c>
      <c r="H185" s="497"/>
      <c r="I185" s="497">
        <v>3.3595453826370067</v>
      </c>
      <c r="J185" s="497"/>
    </row>
    <row r="186" spans="2:10" ht="15" hidden="1" outlineLevel="1">
      <c r="B186" s="394"/>
      <c r="C186" s="498" t="s">
        <v>43</v>
      </c>
      <c r="D186" s="499"/>
      <c r="E186" s="500">
        <v>3237.9416688142533</v>
      </c>
      <c r="F186" s="501"/>
      <c r="G186" s="497">
        <v>4.0143318393492251</v>
      </c>
      <c r="H186" s="497"/>
      <c r="I186" s="497">
        <v>1.0769629185190333</v>
      </c>
      <c r="J186" s="497"/>
    </row>
    <row r="187" spans="2:10" ht="15" hidden="1" outlineLevel="1">
      <c r="B187" s="394"/>
      <c r="C187" s="498" t="s">
        <v>44</v>
      </c>
      <c r="D187" s="499"/>
      <c r="E187" s="500">
        <v>960.63480042621757</v>
      </c>
      <c r="F187" s="501"/>
      <c r="G187" s="497">
        <v>1.1909747795889258</v>
      </c>
      <c r="H187" s="497"/>
      <c r="I187" s="497">
        <v>0.31951411239499911</v>
      </c>
      <c r="J187" s="497"/>
    </row>
    <row r="188" spans="2:10" ht="15" customHeight="1" collapsed="1">
      <c r="B188" s="609" t="s">
        <v>8</v>
      </c>
      <c r="C188" s="610"/>
      <c r="D188" s="394"/>
      <c r="E188" s="282">
        <v>14299.213915208988</v>
      </c>
      <c r="F188" s="502"/>
      <c r="G188" s="296">
        <v>17.727864047195666</v>
      </c>
      <c r="H188" s="296"/>
      <c r="I188" s="296">
        <v>4.7560224135510394</v>
      </c>
      <c r="J188" s="296"/>
    </row>
    <row r="189" spans="2:10" ht="5.0999999999999996" customHeight="1">
      <c r="B189" s="231"/>
      <c r="C189" s="231"/>
      <c r="D189" s="528"/>
      <c r="E189" s="282"/>
      <c r="F189" s="297"/>
      <c r="G189" s="296"/>
      <c r="H189" s="296"/>
      <c r="I189" s="296"/>
      <c r="J189" s="296"/>
    </row>
    <row r="190" spans="2:10" ht="15">
      <c r="B190" s="231" t="s">
        <v>9</v>
      </c>
      <c r="C190" s="295"/>
      <c r="D190" s="228"/>
      <c r="E190" s="282">
        <v>9779.9893342843388</v>
      </c>
      <c r="F190" s="297"/>
      <c r="G190" s="296">
        <v>12.125024657251057</v>
      </c>
      <c r="H190" s="296"/>
      <c r="I190" s="296">
        <v>3.2528954915957429</v>
      </c>
      <c r="J190" s="296"/>
    </row>
    <row r="191" spans="2:10" ht="5.0999999999999996" customHeight="1">
      <c r="B191" s="277"/>
      <c r="C191" s="516"/>
      <c r="D191" s="277"/>
      <c r="E191" s="517"/>
      <c r="F191" s="474"/>
      <c r="G191" s="518"/>
      <c r="H191" s="518"/>
      <c r="I191" s="518"/>
      <c r="J191" s="518"/>
    </row>
    <row r="192" spans="2:10" ht="25.5" customHeight="1">
      <c r="B192" s="611" t="s">
        <v>235</v>
      </c>
      <c r="C192" s="611"/>
      <c r="D192" s="308"/>
      <c r="E192" s="519">
        <v>88477.466601857232</v>
      </c>
      <c r="F192" s="520"/>
      <c r="G192" s="521">
        <v>109.69249837501265</v>
      </c>
      <c r="H192" s="521"/>
      <c r="I192" s="521">
        <v>29.428248066494945</v>
      </c>
      <c r="J192" s="521"/>
    </row>
    <row r="193" spans="2:10" ht="9.9499999999999993" customHeight="1">
      <c r="B193" s="231"/>
      <c r="C193" s="231"/>
      <c r="D193" s="228"/>
      <c r="E193" s="269"/>
      <c r="F193" s="297"/>
      <c r="G193" s="310"/>
      <c r="H193" s="310"/>
      <c r="I193" s="310"/>
      <c r="J193" s="310"/>
    </row>
    <row r="194" spans="2:10" ht="5.0999999999999996" customHeight="1">
      <c r="B194" s="231"/>
      <c r="C194" s="295"/>
      <c r="D194" s="228"/>
      <c r="E194" s="282"/>
      <c r="F194" s="297"/>
      <c r="G194" s="296"/>
      <c r="H194" s="296"/>
      <c r="I194" s="296"/>
      <c r="J194" s="296"/>
    </row>
    <row r="195" spans="2:10" ht="15">
      <c r="B195" s="231" t="s">
        <v>135</v>
      </c>
      <c r="C195" s="295"/>
      <c r="D195" s="228"/>
      <c r="E195" s="282">
        <v>16195.529324747849</v>
      </c>
      <c r="F195" s="297"/>
      <c r="G195" s="296">
        <v>20.078875925908147</v>
      </c>
      <c r="H195" s="296"/>
      <c r="I195" s="296">
        <v>5.386750693050117</v>
      </c>
      <c r="J195" s="296"/>
    </row>
    <row r="196" spans="2:10" ht="9.9499999999999993" customHeight="1">
      <c r="B196" s="231"/>
      <c r="C196" s="295"/>
      <c r="D196" s="228"/>
      <c r="E196" s="325"/>
      <c r="F196" s="297"/>
      <c r="G196" s="321"/>
      <c r="H196" s="321"/>
      <c r="I196" s="321"/>
      <c r="J196" s="321"/>
    </row>
    <row r="197" spans="2:10" ht="15" hidden="1" customHeight="1" outlineLevel="1">
      <c r="B197" s="612" t="s">
        <v>305</v>
      </c>
      <c r="C197" s="613"/>
      <c r="D197" s="530"/>
      <c r="E197" s="500">
        <v>19299.119592096002</v>
      </c>
      <c r="F197" s="531"/>
      <c r="G197" s="497">
        <v>23.926641729259551</v>
      </c>
      <c r="H197" s="497"/>
      <c r="I197" s="497">
        <v>6.4190273595518184</v>
      </c>
      <c r="J197" s="532"/>
    </row>
    <row r="198" spans="2:10" ht="5.0999999999999996" hidden="1" customHeight="1" outlineLevel="1">
      <c r="B198" s="231"/>
      <c r="C198" s="498"/>
      <c r="D198" s="510"/>
      <c r="E198" s="500"/>
      <c r="F198" s="508"/>
      <c r="G198" s="497"/>
      <c r="H198" s="497"/>
      <c r="I198" s="497"/>
      <c r="J198" s="532"/>
    </row>
    <row r="199" spans="2:10" ht="15.75" hidden="1" outlineLevel="2">
      <c r="B199" s="533"/>
      <c r="C199" s="492" t="s">
        <v>176</v>
      </c>
      <c r="D199" s="493"/>
      <c r="E199" s="494">
        <v>15211.15664959226</v>
      </c>
      <c r="F199" s="495"/>
      <c r="G199" s="496">
        <v>18.858471429520307</v>
      </c>
      <c r="H199" s="496"/>
      <c r="I199" s="496">
        <v>5.0593411910950756</v>
      </c>
      <c r="J199" s="529"/>
    </row>
    <row r="200" spans="2:10" ht="15.75" hidden="1" outlineLevel="2">
      <c r="B200" s="533"/>
      <c r="C200" s="492" t="s">
        <v>208</v>
      </c>
      <c r="D200" s="493"/>
      <c r="E200" s="494">
        <v>31066.970090659401</v>
      </c>
      <c r="F200" s="495"/>
      <c r="G200" s="496">
        <v>38.516174762565925</v>
      </c>
      <c r="H200" s="496"/>
      <c r="I200" s="496">
        <v>10.333099913635104</v>
      </c>
      <c r="J200" s="529"/>
    </row>
    <row r="201" spans="2:10" ht="15.75" hidden="1" outlineLevel="2">
      <c r="B201" s="533"/>
      <c r="C201" s="492" t="s">
        <v>209</v>
      </c>
      <c r="D201" s="493"/>
      <c r="E201" s="494">
        <v>2248.060923680001</v>
      </c>
      <c r="F201" s="495"/>
      <c r="G201" s="496">
        <v>2.7870985538878625</v>
      </c>
      <c r="H201" s="496"/>
      <c r="I201" s="496">
        <v>0.74772139248006153</v>
      </c>
      <c r="J201" s="529"/>
    </row>
    <row r="202" spans="2:10" ht="15.75" hidden="1" outlineLevel="2">
      <c r="B202" s="533"/>
      <c r="C202" s="492" t="s">
        <v>210</v>
      </c>
      <c r="D202" s="493"/>
      <c r="E202" s="494">
        <v>7954.9206910033454</v>
      </c>
      <c r="F202" s="495"/>
      <c r="G202" s="496">
        <v>9.8623430177749043</v>
      </c>
      <c r="H202" s="496"/>
      <c r="I202" s="496">
        <v>2.6458644040699268</v>
      </c>
      <c r="J202" s="529"/>
    </row>
    <row r="203" spans="2:10" ht="15.75" hidden="1" outlineLevel="2">
      <c r="B203" s="533"/>
      <c r="C203" s="492" t="s">
        <v>211</v>
      </c>
      <c r="D203" s="493"/>
      <c r="E203" s="494">
        <v>1381.5697651250907</v>
      </c>
      <c r="F203" s="495"/>
      <c r="G203" s="496">
        <v>1.7128410773548242</v>
      </c>
      <c r="H203" s="496"/>
      <c r="I203" s="496">
        <v>0.4595201392036341</v>
      </c>
      <c r="J203" s="529"/>
    </row>
    <row r="204" spans="2:10" ht="15.75" hidden="1" outlineLevel="2">
      <c r="B204" s="533"/>
      <c r="C204" s="492" t="s">
        <v>212</v>
      </c>
      <c r="D204" s="493"/>
      <c r="E204" s="494">
        <v>132.93600621428575</v>
      </c>
      <c r="F204" s="495"/>
      <c r="G204" s="496">
        <v>0.164811258794961</v>
      </c>
      <c r="H204" s="496"/>
      <c r="I204" s="496">
        <v>4.4215481275556731E-2</v>
      </c>
      <c r="J204" s="529"/>
    </row>
    <row r="205" spans="2:10" ht="15.75" hidden="1" outlineLevel="2">
      <c r="B205" s="533"/>
      <c r="C205" s="492" t="s">
        <v>213</v>
      </c>
      <c r="D205" s="493"/>
      <c r="E205" s="494">
        <v>2005.3004065313432</v>
      </c>
      <c r="F205" s="495"/>
      <c r="G205" s="496">
        <v>2.4861291810567532</v>
      </c>
      <c r="H205" s="496"/>
      <c r="I205" s="496">
        <v>0.66697748113426192</v>
      </c>
      <c r="J205" s="529"/>
    </row>
    <row r="206" spans="2:10" ht="15.75" hidden="1" outlineLevel="2">
      <c r="B206" s="533"/>
      <c r="C206" s="492" t="s">
        <v>214</v>
      </c>
      <c r="D206" s="493"/>
      <c r="E206" s="494">
        <v>777.74476378680743</v>
      </c>
      <c r="F206" s="495"/>
      <c r="G206" s="496">
        <v>0.9642315666853436</v>
      </c>
      <c r="H206" s="496"/>
      <c r="I206" s="496">
        <v>0.25868355774842278</v>
      </c>
      <c r="J206" s="529"/>
    </row>
    <row r="207" spans="2:10" ht="15.75" hidden="1" outlineLevel="2">
      <c r="B207" s="533"/>
      <c r="C207" s="492" t="s">
        <v>216</v>
      </c>
      <c r="D207" s="493"/>
      <c r="E207" s="494">
        <v>3587.4905470983067</v>
      </c>
      <c r="F207" s="495"/>
      <c r="G207" s="496">
        <v>4.4476951716844688</v>
      </c>
      <c r="H207" s="496"/>
      <c r="I207" s="496">
        <v>1.1932254144582224</v>
      </c>
      <c r="J207" s="529"/>
    </row>
    <row r="208" spans="2:10" ht="15" hidden="1" customHeight="1" outlineLevel="1" collapsed="1">
      <c r="B208" s="231"/>
      <c r="C208" s="498" t="s">
        <v>347</v>
      </c>
      <c r="D208" s="510"/>
      <c r="E208" s="500">
        <v>64366.149843690844</v>
      </c>
      <c r="F208" s="508"/>
      <c r="G208" s="497">
        <v>79.799796019325356</v>
      </c>
      <c r="H208" s="497"/>
      <c r="I208" s="497">
        <v>21.408648975100263</v>
      </c>
      <c r="J208" s="532"/>
    </row>
    <row r="209" spans="2:10" ht="5.0999999999999996" hidden="1" customHeight="1" outlineLevel="1">
      <c r="B209" s="231"/>
      <c r="C209" s="498"/>
      <c r="D209" s="510"/>
      <c r="E209" s="500"/>
      <c r="F209" s="508"/>
      <c r="G209" s="497"/>
      <c r="H209" s="497"/>
      <c r="I209" s="497"/>
      <c r="J209" s="532"/>
    </row>
    <row r="210" spans="2:10" ht="15" hidden="1" customHeight="1" outlineLevel="1">
      <c r="B210" s="231"/>
      <c r="C210" s="498" t="s">
        <v>236</v>
      </c>
      <c r="D210" s="510"/>
      <c r="E210" s="500">
        <v>67.703777692239953</v>
      </c>
      <c r="F210" s="508"/>
      <c r="G210" s="497">
        <v>8.3937716683361238E-2</v>
      </c>
      <c r="H210" s="497"/>
      <c r="I210" s="497">
        <v>2.251876824109068E-2</v>
      </c>
      <c r="J210" s="532"/>
    </row>
    <row r="211" spans="2:10" ht="5.0999999999999996" hidden="1" customHeight="1" outlineLevel="1">
      <c r="B211" s="231"/>
      <c r="C211" s="498"/>
      <c r="D211" s="510"/>
      <c r="E211" s="500"/>
      <c r="F211" s="508"/>
      <c r="G211" s="497"/>
      <c r="H211" s="497"/>
      <c r="I211" s="497"/>
      <c r="J211" s="532"/>
    </row>
    <row r="212" spans="2:10" ht="15.75" hidden="1" outlineLevel="2">
      <c r="B212" s="533"/>
      <c r="C212" s="492" t="s">
        <v>241</v>
      </c>
      <c r="D212" s="493"/>
      <c r="E212" s="494">
        <v>4177.4571943259616</v>
      </c>
      <c r="F212" s="495"/>
      <c r="G212" s="496">
        <v>5.1791233870010762</v>
      </c>
      <c r="H212" s="496"/>
      <c r="I212" s="496">
        <v>1.3894526066731643</v>
      </c>
      <c r="J212" s="529"/>
    </row>
    <row r="213" spans="2:10" ht="15.75" hidden="1" outlineLevel="2">
      <c r="B213" s="533"/>
      <c r="C213" s="492" t="s">
        <v>242</v>
      </c>
      <c r="D213" s="493"/>
      <c r="E213" s="494">
        <v>432.62610833331729</v>
      </c>
      <c r="F213" s="495"/>
      <c r="G213" s="496">
        <v>0.53636073124571482</v>
      </c>
      <c r="H213" s="496"/>
      <c r="I213" s="496">
        <v>0.14389458610253578</v>
      </c>
      <c r="J213" s="529"/>
    </row>
    <row r="214" spans="2:10" ht="15.75" hidden="1" outlineLevel="2">
      <c r="B214" s="533"/>
      <c r="C214" s="492" t="s">
        <v>190</v>
      </c>
      <c r="D214" s="493"/>
      <c r="E214" s="494">
        <v>1619.4190476190477</v>
      </c>
      <c r="F214" s="495"/>
      <c r="G214" s="496">
        <v>2.0077216049683786</v>
      </c>
      <c r="H214" s="496"/>
      <c r="I214" s="496">
        <v>0.53863053822949269</v>
      </c>
      <c r="J214" s="529"/>
    </row>
    <row r="215" spans="2:10" ht="15.75" hidden="1" outlineLevel="2">
      <c r="B215" s="533"/>
      <c r="C215" s="492" t="s">
        <v>243</v>
      </c>
      <c r="D215" s="493"/>
      <c r="E215" s="494">
        <v>612.56609523809516</v>
      </c>
      <c r="F215" s="495"/>
      <c r="G215" s="496">
        <v>0.75944653466244394</v>
      </c>
      <c r="H215" s="496"/>
      <c r="I215" s="496">
        <v>0.20374393277906572</v>
      </c>
      <c r="J215" s="529"/>
    </row>
    <row r="216" spans="2:10" ht="15.75" hidden="1" outlineLevel="2">
      <c r="B216" s="533"/>
      <c r="C216" s="492" t="s">
        <v>348</v>
      </c>
      <c r="D216" s="493"/>
      <c r="E216" s="494">
        <v>37.686400000000006</v>
      </c>
      <c r="F216" s="495"/>
      <c r="G216" s="496">
        <v>4.6722804455539217E-2</v>
      </c>
      <c r="H216" s="496"/>
      <c r="I216" s="496">
        <v>1.2534770383105378E-2</v>
      </c>
      <c r="J216" s="529"/>
    </row>
    <row r="217" spans="2:10" ht="15.75" hidden="1" outlineLevel="2">
      <c r="B217" s="533"/>
      <c r="C217" s="492" t="s">
        <v>223</v>
      </c>
      <c r="D217" s="493"/>
      <c r="E217" s="494">
        <v>2640.9506666666671</v>
      </c>
      <c r="F217" s="495"/>
      <c r="G217" s="496">
        <v>3.2741949768455623</v>
      </c>
      <c r="H217" s="496"/>
      <c r="I217" s="496">
        <v>0.87839937483484065</v>
      </c>
      <c r="J217" s="529"/>
    </row>
    <row r="218" spans="2:10" ht="15" hidden="1" customHeight="1" outlineLevel="1" collapsed="1">
      <c r="B218" s="231"/>
      <c r="C218" s="498" t="s">
        <v>15</v>
      </c>
      <c r="D218" s="510"/>
      <c r="E218" s="500">
        <v>9520.705512183089</v>
      </c>
      <c r="F218" s="508"/>
      <c r="G218" s="497">
        <v>11.803570039178716</v>
      </c>
      <c r="H218" s="497"/>
      <c r="I218" s="497">
        <v>3.1666558090022043</v>
      </c>
      <c r="J218" s="532"/>
    </row>
    <row r="219" spans="2:10" ht="15" collapsed="1">
      <c r="B219" s="231" t="s">
        <v>58</v>
      </c>
      <c r="C219" s="295"/>
      <c r="D219" s="228"/>
      <c r="E219" s="534">
        <v>93253.678725662176</v>
      </c>
      <c r="F219" s="535"/>
      <c r="G219" s="536">
        <v>115.613945504447</v>
      </c>
      <c r="H219" s="536"/>
      <c r="I219" s="536">
        <v>31.016850911895379</v>
      </c>
      <c r="J219" s="537"/>
    </row>
    <row r="220" spans="2:10" ht="9.9499999999999993" customHeight="1">
      <c r="B220" s="231"/>
      <c r="C220" s="231"/>
      <c r="D220" s="228"/>
      <c r="E220" s="534"/>
      <c r="F220" s="535"/>
      <c r="G220" s="536"/>
      <c r="H220" s="536"/>
      <c r="I220" s="536"/>
      <c r="J220" s="537"/>
    </row>
    <row r="221" spans="2:10">
      <c r="B221" s="4" t="s">
        <v>136</v>
      </c>
      <c r="C221" s="4"/>
      <c r="D221" s="538"/>
      <c r="E221" s="539">
        <v>730976.86762725713</v>
      </c>
      <c r="F221" s="540"/>
      <c r="G221" s="541">
        <v>906.24971468940794</v>
      </c>
      <c r="H221" s="541"/>
      <c r="I221" s="541">
        <v>243.12821577729054</v>
      </c>
      <c r="J221" s="541"/>
    </row>
    <row r="222" spans="2:10" ht="15" customHeight="1">
      <c r="B222" s="231"/>
      <c r="C222" s="231"/>
      <c r="D222" s="228"/>
      <c r="E222" s="325"/>
      <c r="F222" s="297"/>
      <c r="G222" s="321"/>
      <c r="H222" s="321"/>
      <c r="I222" s="321"/>
      <c r="J222" s="321"/>
    </row>
    <row r="223" spans="2:10" ht="15" hidden="1" outlineLevel="1">
      <c r="B223" s="231"/>
      <c r="C223" s="498" t="s">
        <v>308</v>
      </c>
      <c r="D223" s="510"/>
      <c r="E223" s="500">
        <v>670382.03540122276</v>
      </c>
      <c r="F223" s="508"/>
      <c r="G223" s="497">
        <v>831.12551876957457</v>
      </c>
      <c r="H223" s="497"/>
      <c r="I223" s="497">
        <v>222.97393443558278</v>
      </c>
      <c r="J223" s="497"/>
    </row>
    <row r="224" spans="2:10" ht="15" hidden="1" outlineLevel="1">
      <c r="B224" s="231"/>
      <c r="C224" s="498" t="s">
        <v>309</v>
      </c>
      <c r="D224" s="510"/>
      <c r="E224" s="500">
        <v>74527.761500846173</v>
      </c>
      <c r="F224" s="508"/>
      <c r="G224" s="497">
        <v>92.397947989542615</v>
      </c>
      <c r="H224" s="497"/>
      <c r="I224" s="497">
        <v>24.788474823277035</v>
      </c>
      <c r="J224" s="497"/>
    </row>
    <row r="225" spans="2:10" ht="15" hidden="1" outlineLevel="1">
      <c r="B225" s="231"/>
      <c r="C225" s="498" t="s">
        <v>310</v>
      </c>
      <c r="D225" s="510"/>
      <c r="E225" s="500">
        <v>-984.64045072193107</v>
      </c>
      <c r="F225" s="508"/>
      <c r="G225" s="497">
        <v>-1.220736478891451</v>
      </c>
      <c r="H225" s="497"/>
      <c r="I225" s="497">
        <v>-0.32749856605345135</v>
      </c>
      <c r="J225" s="497"/>
    </row>
    <row r="226" spans="2:10" ht="15" hidden="1" outlineLevel="1">
      <c r="B226" s="231"/>
      <c r="C226" s="498" t="s">
        <v>311</v>
      </c>
      <c r="D226" s="510"/>
      <c r="E226" s="500">
        <v>-5816.1124293129715</v>
      </c>
      <c r="F226" s="508"/>
      <c r="G226" s="497">
        <v>-7.2106936116535696</v>
      </c>
      <c r="H226" s="497"/>
      <c r="I226" s="497">
        <v>-1.9344812405473404</v>
      </c>
      <c r="J226" s="497"/>
    </row>
    <row r="227" spans="2:10" ht="15" collapsed="1">
      <c r="B227" s="585" t="s">
        <v>64</v>
      </c>
      <c r="C227" s="295"/>
      <c r="D227" s="228"/>
      <c r="E227" s="282">
        <v>738109.04402203392</v>
      </c>
      <c r="F227" s="297"/>
      <c r="G227" s="296">
        <v>915.09203666857206</v>
      </c>
      <c r="H227" s="296"/>
      <c r="I227" s="296">
        <v>245.500429452259</v>
      </c>
      <c r="J227" s="296"/>
    </row>
  </sheetData>
  <mergeCells count="22">
    <mergeCell ref="E9:G9"/>
    <mergeCell ref="B105:C105"/>
    <mergeCell ref="B141:C141"/>
    <mergeCell ref="B110:C110"/>
    <mergeCell ref="B117:C117"/>
    <mergeCell ref="B129:C129"/>
    <mergeCell ref="B131:C131"/>
    <mergeCell ref="B96:C96"/>
    <mergeCell ref="B69:C69"/>
    <mergeCell ref="B77:C77"/>
    <mergeCell ref="B81:C81"/>
    <mergeCell ref="B112:C112"/>
    <mergeCell ref="B124:C124"/>
    <mergeCell ref="B85:C85"/>
    <mergeCell ref="E60:J61"/>
    <mergeCell ref="B153:C153"/>
    <mergeCell ref="B147:C147"/>
    <mergeCell ref="B174:C174"/>
    <mergeCell ref="B197:C197"/>
    <mergeCell ref="B145:C145"/>
    <mergeCell ref="B188:C188"/>
    <mergeCell ref="B192:C192"/>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3">
    <pageSetUpPr fitToPage="1"/>
  </sheetPr>
  <dimension ref="A1:M160"/>
  <sheetViews>
    <sheetView workbookViewId="0">
      <selection activeCell="I102" sqref="I102"/>
    </sheetView>
  </sheetViews>
  <sheetFormatPr baseColWidth="10" defaultRowHeight="15" outlineLevelRow="1"/>
  <cols>
    <col min="1" max="1" width="0.75" style="224" customWidth="1"/>
    <col min="2" max="2" width="32.625" style="224" customWidth="1"/>
    <col min="3" max="3" width="18.25" style="224" customWidth="1"/>
    <col min="4" max="4" width="0.875" style="224" customWidth="1"/>
    <col min="5" max="5" width="17" style="224" customWidth="1"/>
    <col min="6" max="6" width="0.75" style="224" customWidth="1"/>
    <col min="7" max="7" width="20.375" style="224" customWidth="1"/>
    <col min="8" max="8" width="0.75" style="224" customWidth="1"/>
    <col min="9" max="9" width="17" style="224" customWidth="1"/>
    <col min="10" max="10" width="0.75" style="224" customWidth="1"/>
    <col min="11" max="11" width="13.25" style="224" customWidth="1"/>
    <col min="12" max="12" width="0.75" style="224" customWidth="1"/>
    <col min="13" max="13" width="17" style="224" customWidth="1"/>
    <col min="14" max="14" width="0.75" style="224" customWidth="1"/>
    <col min="15" max="15" width="17" style="224" customWidth="1"/>
    <col min="16" max="16" width="0.75" style="224" customWidth="1"/>
    <col min="17" max="17" width="17" style="224" customWidth="1"/>
    <col min="18" max="18" width="0.75" style="224" customWidth="1"/>
    <col min="19" max="19" width="17" style="224" customWidth="1"/>
    <col min="20" max="20" width="0.75" style="224" customWidth="1"/>
    <col min="21" max="21" width="17" style="224" customWidth="1"/>
    <col min="22" max="22" width="0.75" style="224" customWidth="1"/>
    <col min="23" max="23" width="17" style="224" customWidth="1"/>
    <col min="24" max="24" width="0.75" style="224" customWidth="1"/>
    <col min="25" max="26" width="17" style="224" customWidth="1"/>
    <col min="27" max="27" width="0.75" style="224" customWidth="1"/>
    <col min="28" max="29" width="17" style="224" customWidth="1"/>
    <col min="30" max="30" width="0.75" style="224" customWidth="1"/>
    <col min="31" max="31" width="17" style="224" customWidth="1"/>
    <col min="32" max="32" width="0.75" style="224" customWidth="1"/>
    <col min="33" max="33" width="17" style="224" customWidth="1"/>
    <col min="34" max="34" width="0.75" style="224" customWidth="1"/>
    <col min="35" max="35" width="17" style="224" customWidth="1"/>
    <col min="36" max="16384" width="11" style="224"/>
  </cols>
  <sheetData>
    <row r="1" spans="2:13" ht="25.5" customHeight="1">
      <c r="B1" s="624"/>
      <c r="C1" s="624"/>
      <c r="D1" s="624"/>
      <c r="E1" s="624"/>
      <c r="F1" s="624"/>
      <c r="G1" s="624"/>
      <c r="H1" s="624"/>
      <c r="I1" s="624"/>
      <c r="J1" s="624"/>
      <c r="K1" s="624"/>
      <c r="L1" s="400"/>
    </row>
    <row r="3" spans="2:13" ht="56.25" customHeight="1">
      <c r="B3" s="225" t="s">
        <v>312</v>
      </c>
      <c r="C3" s="226"/>
      <c r="D3" s="227"/>
      <c r="E3" s="227"/>
      <c r="F3" s="227"/>
      <c r="G3" s="228"/>
      <c r="H3" s="228"/>
      <c r="I3" s="228"/>
      <c r="J3" s="228"/>
      <c r="K3" s="228"/>
    </row>
    <row r="4" spans="2:13" ht="26.25" customHeight="1">
      <c r="B4" s="625" t="s">
        <v>329</v>
      </c>
      <c r="C4" s="625"/>
      <c r="D4" s="625"/>
      <c r="E4" s="625"/>
      <c r="F4" s="625"/>
      <c r="G4" s="625"/>
      <c r="H4" s="625"/>
      <c r="I4" s="625"/>
      <c r="J4" s="625"/>
      <c r="K4" s="625"/>
      <c r="L4" s="229"/>
    </row>
    <row r="5" spans="2:13" ht="16.5" customHeight="1">
      <c r="B5" s="230"/>
      <c r="C5" s="230"/>
      <c r="D5" s="230"/>
      <c r="E5" s="230"/>
      <c r="F5" s="230"/>
      <c r="G5" s="230"/>
      <c r="H5" s="230"/>
      <c r="I5" s="230"/>
      <c r="J5" s="230"/>
      <c r="K5" s="230"/>
      <c r="L5" s="229"/>
    </row>
    <row r="6" spans="2:13" ht="15.75" customHeight="1">
      <c r="B6" s="231"/>
      <c r="C6" s="231"/>
      <c r="D6" s="231"/>
      <c r="E6" s="231"/>
      <c r="F6" s="231"/>
      <c r="G6" s="231"/>
      <c r="H6" s="231"/>
      <c r="I6" s="626" t="str">
        <f>IF(E8="Indexation 2019","Cette indexation est différente de celle produite par la Financière agricole du Québec.","")</f>
        <v/>
      </c>
      <c r="J6" s="626"/>
      <c r="K6" s="626"/>
      <c r="L6" s="229"/>
    </row>
    <row r="7" spans="2:13" ht="4.5" customHeight="1">
      <c r="B7" s="231"/>
      <c r="C7" s="231"/>
      <c r="D7" s="231"/>
      <c r="E7" s="231"/>
      <c r="F7" s="231"/>
      <c r="G7" s="232"/>
      <c r="H7" s="231"/>
      <c r="I7" s="627"/>
      <c r="J7" s="627"/>
      <c r="K7" s="627"/>
      <c r="L7" s="229"/>
    </row>
    <row r="8" spans="2:13" ht="15.75" customHeight="1">
      <c r="B8" s="233" t="s">
        <v>1</v>
      </c>
      <c r="C8" s="233"/>
      <c r="D8" s="231"/>
      <c r="E8" s="628" t="s">
        <v>138</v>
      </c>
      <c r="F8" s="629"/>
      <c r="G8" s="630"/>
      <c r="H8" s="231"/>
      <c r="I8" s="627"/>
      <c r="J8" s="627"/>
      <c r="K8" s="627"/>
      <c r="L8" s="229"/>
    </row>
    <row r="9" spans="2:13" ht="4.5" customHeight="1">
      <c r="B9" s="228"/>
      <c r="C9" s="228"/>
      <c r="D9" s="231"/>
      <c r="E9" s="231"/>
      <c r="F9" s="231"/>
      <c r="G9" s="232"/>
      <c r="H9" s="231"/>
      <c r="I9" s="627"/>
      <c r="J9" s="627"/>
      <c r="K9" s="627"/>
      <c r="L9" s="229"/>
    </row>
    <row r="10" spans="2:13">
      <c r="B10" s="233" t="s">
        <v>0</v>
      </c>
      <c r="C10" s="233"/>
      <c r="D10" s="231"/>
      <c r="E10" s="631" t="s">
        <v>274</v>
      </c>
      <c r="F10" s="632"/>
      <c r="G10" s="633"/>
      <c r="H10" s="231"/>
      <c r="I10" s="627"/>
      <c r="J10" s="627"/>
      <c r="K10" s="627"/>
      <c r="L10" s="229"/>
    </row>
    <row r="11" spans="2:13">
      <c r="B11" s="234"/>
      <c r="C11" s="234"/>
      <c r="D11" s="234"/>
      <c r="E11" s="234"/>
      <c r="F11" s="234"/>
      <c r="G11" s="234"/>
      <c r="H11" s="234"/>
      <c r="I11" s="234"/>
      <c r="J11" s="234"/>
      <c r="K11" s="234"/>
      <c r="L11" s="229"/>
    </row>
    <row r="12" spans="2:13" ht="15" customHeight="1">
      <c r="B12" s="235"/>
      <c r="C12" s="231"/>
      <c r="D12" s="231"/>
      <c r="E12" s="634" t="s">
        <v>2</v>
      </c>
      <c r="F12" s="236"/>
      <c r="G12" s="236"/>
      <c r="H12" s="237"/>
      <c r="I12" s="636" t="str">
        <f>IF(E8&lt;&gt;0,E8,"")</f>
        <v>Indexation 2020</v>
      </c>
      <c r="J12" s="237"/>
      <c r="K12" s="636" t="s">
        <v>3</v>
      </c>
      <c r="L12" s="229"/>
    </row>
    <row r="13" spans="2:13" ht="15.75" customHeight="1" thickBot="1">
      <c r="B13" s="231"/>
      <c r="C13" s="238" t="s">
        <v>4</v>
      </c>
      <c r="D13" s="231"/>
      <c r="E13" s="635"/>
      <c r="F13" s="239"/>
      <c r="G13" s="240"/>
      <c r="H13" s="240"/>
      <c r="I13" s="637"/>
      <c r="J13" s="241"/>
      <c r="K13" s="637"/>
      <c r="L13" s="229"/>
    </row>
    <row r="14" spans="2:13" ht="15.75" customHeight="1">
      <c r="B14" s="231"/>
      <c r="C14" s="231"/>
      <c r="D14" s="231"/>
      <c r="E14" s="398"/>
      <c r="F14" s="398"/>
      <c r="G14" s="398"/>
      <c r="H14" s="398"/>
      <c r="I14" s="242"/>
      <c r="J14" s="242"/>
      <c r="K14" s="242"/>
      <c r="L14" s="229"/>
    </row>
    <row r="15" spans="2:13">
      <c r="B15" s="572" t="s">
        <v>313</v>
      </c>
      <c r="C15" s="231" t="s">
        <v>248</v>
      </c>
      <c r="D15" s="231"/>
      <c r="E15" s="1"/>
      <c r="F15" s="231"/>
      <c r="G15" s="583" t="str">
        <f>IF(E15="","",E15)</f>
        <v/>
      </c>
      <c r="H15" s="232"/>
      <c r="I15" s="583" t="str">
        <f>IF(E15="","",'Coef+Ind'!E6)</f>
        <v/>
      </c>
      <c r="J15" s="232"/>
      <c r="K15" s="348" t="str">
        <f>IF(G15="","",G15-I15)</f>
        <v/>
      </c>
      <c r="L15" s="229"/>
    </row>
    <row r="16" spans="2:13" ht="4.5" customHeight="1">
      <c r="B16" s="231"/>
      <c r="C16" s="231"/>
      <c r="D16" s="228"/>
      <c r="E16" s="244"/>
      <c r="F16" s="228"/>
      <c r="G16" s="245"/>
      <c r="H16" s="245"/>
      <c r="I16" s="246"/>
      <c r="J16" s="246"/>
      <c r="K16" s="246"/>
      <c r="L16" s="247"/>
      <c r="M16" s="247"/>
    </row>
    <row r="17" spans="2:12">
      <c r="B17" s="572" t="s">
        <v>314</v>
      </c>
      <c r="C17" s="585" t="s">
        <v>328</v>
      </c>
      <c r="D17" s="231"/>
      <c r="E17" s="427"/>
      <c r="F17" s="231"/>
      <c r="G17" s="586">
        <f>E17*E15/100</f>
        <v>0</v>
      </c>
      <c r="H17" s="232"/>
      <c r="I17" s="413" t="str">
        <f>IF(E17="","",'Coef+Ind'!E7/'Coef+Ind'!E6)</f>
        <v/>
      </c>
      <c r="J17" s="232"/>
      <c r="K17" s="348" t="str">
        <f>IF(E17="","",E17-I17)</f>
        <v/>
      </c>
      <c r="L17" s="229"/>
    </row>
    <row r="18" spans="2:12">
      <c r="B18" s="249"/>
      <c r="C18" s="249"/>
      <c r="D18" s="249"/>
      <c r="E18" s="249"/>
      <c r="F18" s="249"/>
      <c r="G18" s="250"/>
      <c r="H18" s="249"/>
      <c r="I18" s="249"/>
      <c r="J18" s="249"/>
      <c r="K18" s="249"/>
      <c r="L18" s="229"/>
    </row>
    <row r="19" spans="2:12" ht="15.75" hidden="1" customHeight="1" outlineLevel="1">
      <c r="B19" s="251" t="s">
        <v>10</v>
      </c>
      <c r="C19" s="252"/>
      <c r="D19" s="231"/>
      <c r="E19" s="253"/>
      <c r="F19" s="236"/>
      <c r="G19" s="350"/>
      <c r="H19" s="233"/>
      <c r="I19" s="233"/>
      <c r="J19" s="233"/>
      <c r="K19" s="233"/>
      <c r="L19" s="229"/>
    </row>
    <row r="20" spans="2:12" ht="15.75" hidden="1" outlineLevel="1">
      <c r="B20" s="254"/>
      <c r="C20" s="254"/>
      <c r="D20" s="254"/>
      <c r="E20" s="396"/>
      <c r="F20" s="351"/>
      <c r="G20" s="412" t="s">
        <v>34</v>
      </c>
      <c r="H20" s="351"/>
      <c r="I20" s="351"/>
      <c r="J20" s="351"/>
      <c r="K20" s="351"/>
      <c r="L20" s="229"/>
    </row>
    <row r="21" spans="2:12" hidden="1" outlineLevel="1">
      <c r="B21" s="231"/>
      <c r="C21" s="260"/>
      <c r="D21" s="231"/>
      <c r="E21" s="399" t="s">
        <v>83</v>
      </c>
      <c r="F21" s="277"/>
      <c r="G21" s="352"/>
      <c r="H21" s="352"/>
      <c r="I21" s="352"/>
      <c r="J21" s="349"/>
      <c r="K21" s="354"/>
      <c r="L21" s="229"/>
    </row>
    <row r="22" spans="2:12" ht="5.0999999999999996" hidden="1" customHeight="1" outlineLevel="1">
      <c r="B22" s="231"/>
      <c r="C22" s="260"/>
      <c r="D22" s="231"/>
      <c r="E22" s="260"/>
      <c r="F22" s="231"/>
      <c r="G22" s="353"/>
      <c r="H22" s="232"/>
      <c r="I22" s="259"/>
      <c r="J22" s="232"/>
      <c r="K22" s="258"/>
      <c r="L22" s="229"/>
    </row>
    <row r="23" spans="2:12" hidden="1" outlineLevel="1">
      <c r="B23" s="231" t="s">
        <v>250</v>
      </c>
      <c r="C23" s="261" t="s">
        <v>332</v>
      </c>
      <c r="D23" s="231"/>
      <c r="E23" s="415"/>
      <c r="F23" s="231"/>
      <c r="G23" s="286" t="str">
        <f>IF($E$32&lt;&gt;0,E23/$E$32,"")</f>
        <v/>
      </c>
      <c r="H23" s="232"/>
      <c r="I23" s="358" t="str">
        <f>IF(E23="","",5.2%)</f>
        <v/>
      </c>
      <c r="J23" s="232"/>
      <c r="K23" s="414" t="str">
        <f>IF(E23=0,"",E23-I23)</f>
        <v/>
      </c>
      <c r="L23" s="229"/>
    </row>
    <row r="24" spans="2:12" hidden="1" outlineLevel="1">
      <c r="B24" s="231"/>
      <c r="C24" s="261" t="s">
        <v>249</v>
      </c>
      <c r="D24" s="231"/>
      <c r="E24" s="415"/>
      <c r="F24" s="231"/>
      <c r="G24" s="286" t="str">
        <f>IF($E$32&lt;&gt;0,E24/$E$32,"")</f>
        <v/>
      </c>
      <c r="H24" s="232"/>
      <c r="I24" s="358" t="str">
        <f>IF(E24="","",4.9%)</f>
        <v/>
      </c>
      <c r="J24" s="232"/>
      <c r="K24" s="414" t="str">
        <f>IF(E24=0,"",E24-I24)</f>
        <v/>
      </c>
      <c r="L24" s="229"/>
    </row>
    <row r="25" spans="2:12" ht="5.0999999999999996" hidden="1" customHeight="1" outlineLevel="1">
      <c r="E25" s="356"/>
      <c r="F25" s="356"/>
      <c r="G25" s="356"/>
      <c r="H25" s="356"/>
      <c r="I25" s="356"/>
      <c r="J25" s="356"/>
      <c r="K25" s="356"/>
    </row>
    <row r="26" spans="2:12" ht="5.0999999999999996" hidden="1" customHeight="1" outlineLevel="1">
      <c r="E26" s="229"/>
      <c r="F26" s="229"/>
      <c r="G26" s="229"/>
      <c r="H26" s="229"/>
      <c r="I26" s="229"/>
      <c r="J26" s="229"/>
      <c r="K26" s="229"/>
    </row>
    <row r="27" spans="2:12" hidden="1" outlineLevel="1">
      <c r="B27" s="231"/>
      <c r="C27" s="260"/>
      <c r="D27" s="231"/>
      <c r="E27" s="399" t="s">
        <v>333</v>
      </c>
      <c r="F27" s="277"/>
      <c r="G27" s="352"/>
      <c r="H27" s="352"/>
      <c r="I27" s="352"/>
      <c r="J27" s="349"/>
      <c r="K27" s="354"/>
      <c r="L27" s="229"/>
    </row>
    <row r="28" spans="2:12" ht="5.0999999999999996" hidden="1" customHeight="1" outlineLevel="1">
      <c r="B28" s="231"/>
      <c r="C28" s="260"/>
      <c r="D28" s="231"/>
      <c r="E28" s="260"/>
      <c r="F28" s="231"/>
      <c r="G28" s="353"/>
      <c r="H28" s="232"/>
      <c r="I28" s="259"/>
      <c r="J28" s="232"/>
      <c r="K28" s="258"/>
      <c r="L28" s="229"/>
    </row>
    <row r="29" spans="2:12" hidden="1" outlineLevel="1">
      <c r="B29" s="231" t="s">
        <v>251</v>
      </c>
      <c r="C29" s="261" t="s">
        <v>332</v>
      </c>
      <c r="D29" s="231"/>
      <c r="E29" s="357"/>
      <c r="F29" s="231"/>
      <c r="G29" s="286" t="str">
        <f t="shared" ref="G29:G30" si="0">IF($E$32&lt;&gt;0,E29/$E$32,"")</f>
        <v/>
      </c>
      <c r="H29" s="232"/>
      <c r="I29" s="416" t="str">
        <f>IF(E29="","",1.63)</f>
        <v/>
      </c>
      <c r="J29" s="232"/>
      <c r="K29" s="416" t="str">
        <f>IF(E29=0,"",E29-I29)</f>
        <v/>
      </c>
      <c r="L29" s="229"/>
    </row>
    <row r="30" spans="2:12" hidden="1" outlineLevel="1">
      <c r="B30" s="231"/>
      <c r="C30" s="261" t="s">
        <v>249</v>
      </c>
      <c r="D30" s="231"/>
      <c r="E30" s="357"/>
      <c r="F30" s="231"/>
      <c r="G30" s="286" t="str">
        <f t="shared" si="0"/>
        <v/>
      </c>
      <c r="H30" s="232"/>
      <c r="I30" s="416" t="str">
        <f>IF(E30="","",2.98)</f>
        <v/>
      </c>
      <c r="J30" s="232"/>
      <c r="K30" s="416" t="str">
        <f>IF(E30=0,"",E30-I30)</f>
        <v/>
      </c>
      <c r="L30" s="229"/>
    </row>
    <row r="31" spans="2:12" ht="5.0999999999999996" hidden="1" customHeight="1" outlineLevel="1">
      <c r="E31" s="356"/>
      <c r="F31" s="356"/>
      <c r="G31" s="356"/>
      <c r="H31" s="356"/>
      <c r="I31" s="356"/>
      <c r="J31" s="356"/>
      <c r="K31" s="356"/>
    </row>
    <row r="32" spans="2:12" hidden="1" outlineLevel="1">
      <c r="B32" s="231"/>
      <c r="C32" s="233"/>
      <c r="D32" s="231"/>
      <c r="E32" s="243"/>
      <c r="F32" s="231"/>
      <c r="G32" s="355"/>
      <c r="H32" s="232"/>
      <c r="I32" s="286"/>
      <c r="J32" s="232"/>
      <c r="K32" s="258"/>
      <c r="L32" s="229"/>
    </row>
    <row r="33" spans="2:13" hidden="1" outlineLevel="1">
      <c r="B33" s="254"/>
      <c r="C33" s="231"/>
      <c r="D33" s="231"/>
      <c r="E33" s="255"/>
      <c r="F33" s="256"/>
      <c r="G33" s="352"/>
      <c r="H33" s="257"/>
      <c r="I33" s="621" t="str">
        <f>IF(E10&lt;&gt;0,E10,"")</f>
        <v>par veau</v>
      </c>
      <c r="J33" s="621"/>
      <c r="K33" s="621"/>
      <c r="L33" s="229"/>
    </row>
    <row r="34" spans="2:13" ht="4.5" hidden="1" customHeight="1" outlineLevel="1">
      <c r="B34" s="231"/>
      <c r="C34" s="231"/>
      <c r="D34" s="228"/>
      <c r="E34" s="228"/>
      <c r="F34" s="228"/>
      <c r="G34" s="245"/>
      <c r="H34" s="245"/>
      <c r="I34" s="246"/>
      <c r="J34" s="246"/>
      <c r="K34" s="246"/>
      <c r="L34" s="247"/>
      <c r="M34" s="247"/>
    </row>
    <row r="35" spans="2:13" ht="4.5" hidden="1" customHeight="1" outlineLevel="1">
      <c r="B35" s="231"/>
      <c r="C35" s="231"/>
      <c r="D35" s="228"/>
      <c r="E35" s="228"/>
      <c r="F35" s="228"/>
      <c r="G35" s="245"/>
      <c r="H35" s="245"/>
      <c r="I35" s="246"/>
      <c r="J35" s="246"/>
      <c r="K35" s="246"/>
      <c r="L35" s="247"/>
      <c r="M35" s="247"/>
    </row>
    <row r="36" spans="2:13" hidden="1" outlineLevel="1">
      <c r="B36" s="231" t="s">
        <v>5</v>
      </c>
      <c r="C36" s="261" t="s">
        <v>7</v>
      </c>
      <c r="D36" s="231"/>
      <c r="E36" s="386"/>
      <c r="F36" s="231"/>
      <c r="G36" s="348" t="str">
        <f>IF(AND($E$10=Lég_Choix!B27,$E$15&gt;0,E36&gt;0),E36/$E$15,IF(AND($E$10=Lég_Choix!B28,$G$17&gt;0,E36&gt;0),E36/$G$17,IF(AND($E$10=Lég_Choix!B29,E36&gt;0),E36/$E$39,"")))</f>
        <v/>
      </c>
      <c r="H36" s="262"/>
      <c r="I36" s="426" t="str">
        <f>IF(OR(E8="",E10="",E36=""),"",'Coef+Ind'!J213)</f>
        <v/>
      </c>
      <c r="J36" s="262"/>
      <c r="K36" s="348" t="str">
        <f>IF(AND($E$8&lt;&gt;"",$E$10&lt;&gt;""),IF(E36=0,"",G36-I36),"")</f>
        <v/>
      </c>
      <c r="L36" s="229"/>
    </row>
    <row r="37" spans="2:13" hidden="1" outlineLevel="1">
      <c r="B37" s="228"/>
      <c r="C37" s="261" t="s">
        <v>8</v>
      </c>
      <c r="D37" s="231"/>
      <c r="E37" s="386"/>
      <c r="F37" s="231"/>
      <c r="G37" s="348" t="str">
        <f>IF(AND($E$10=Lég_Choix!B27,$E$15&gt;0,E37&gt;0),E37/$E$15,IF(AND($E$10=Lég_Choix!B28,$G$17&gt;0,E37&gt;0),E37/$G$17,IF(AND($E$10=Lég_Choix!B29,E37&gt;0),E37/$E$39,"")))</f>
        <v/>
      </c>
      <c r="H37" s="262"/>
      <c r="I37" s="426" t="str">
        <f>IF(OR(E8="",E10="",E37=""),"",'Coef+Ind'!J214+'Coef+Ind'!J215+'Coef+Ind'!J216)</f>
        <v/>
      </c>
      <c r="J37" s="262"/>
      <c r="K37" s="348" t="str">
        <f t="shared" ref="K37:K38" si="1">IF(AND($E$8&lt;&gt;"",$E$10&lt;&gt;""),IF(E37=0,"",G37-I37),"")</f>
        <v/>
      </c>
      <c r="L37" s="229"/>
    </row>
    <row r="38" spans="2:13" hidden="1" outlineLevel="1">
      <c r="B38" s="228"/>
      <c r="C38" s="261" t="s">
        <v>9</v>
      </c>
      <c r="D38" s="231"/>
      <c r="E38" s="386"/>
      <c r="F38" s="231"/>
      <c r="G38" s="348" t="str">
        <f>IF(AND($E$10=Lég_Choix!B27,$E$15&gt;0,E38&gt;0),E38/$E$15,IF(AND($E$10=Lég_Choix!B28,$G$17&gt;0,E38&gt;0),E38/$G$17,IF(AND($E$10=Lég_Choix!B29,E38&gt;0),E38/$E$39,"")))</f>
        <v/>
      </c>
      <c r="H38" s="262"/>
      <c r="I38" s="426" t="str">
        <f>IF(OR(E8="",E10="",E38=""),"",'Coef+Ind'!J217)</f>
        <v/>
      </c>
      <c r="J38" s="262"/>
      <c r="K38" s="348" t="str">
        <f t="shared" si="1"/>
        <v/>
      </c>
      <c r="L38" s="229"/>
    </row>
    <row r="39" spans="2:13" hidden="1" outlineLevel="1">
      <c r="B39" s="231"/>
      <c r="C39" s="233" t="s">
        <v>6</v>
      </c>
      <c r="D39" s="231"/>
      <c r="E39" s="248">
        <f>SUM(E36:E38)</f>
        <v>0</v>
      </c>
      <c r="F39" s="231"/>
      <c r="G39" s="243"/>
      <c r="H39" s="243"/>
      <c r="I39" s="259" t="str">
        <f>IF(AND(I36="",I37="",I38=""),"",SUM(I36:I38))</f>
        <v/>
      </c>
      <c r="J39" s="243"/>
      <c r="K39" s="243"/>
      <c r="L39" s="229"/>
    </row>
    <row r="40" spans="2:13" ht="15.75" customHeight="1" collapsed="1">
      <c r="B40" s="251" t="s">
        <v>10</v>
      </c>
      <c r="C40" s="252"/>
      <c r="D40" s="231"/>
      <c r="E40" s="253"/>
      <c r="H40" s="233"/>
      <c r="I40" s="233"/>
      <c r="J40" s="233"/>
      <c r="K40" s="233"/>
      <c r="L40" s="229"/>
    </row>
    <row r="41" spans="2:13" ht="15" customHeight="1">
      <c r="B41" s="249"/>
      <c r="C41" s="249"/>
      <c r="D41" s="249"/>
      <c r="E41" s="249"/>
      <c r="F41" s="249"/>
      <c r="G41" s="263"/>
      <c r="H41" s="249"/>
      <c r="I41" s="249"/>
      <c r="J41" s="249"/>
      <c r="K41" s="249"/>
      <c r="L41" s="229"/>
    </row>
    <row r="42" spans="2:13" hidden="1" outlineLevel="1">
      <c r="B42" s="251" t="s">
        <v>11</v>
      </c>
      <c r="C42" s="252"/>
      <c r="D42" s="231"/>
      <c r="E42" s="231"/>
      <c r="F42" s="231"/>
      <c r="G42" s="231"/>
      <c r="H42" s="231"/>
      <c r="I42" s="231"/>
      <c r="J42" s="231"/>
      <c r="K42" s="231"/>
      <c r="L42" s="229"/>
    </row>
    <row r="43" spans="2:13" ht="15.75" hidden="1" customHeight="1" outlineLevel="1">
      <c r="B43" s="231"/>
      <c r="C43" s="231"/>
      <c r="D43" s="231"/>
      <c r="E43" s="620" t="s">
        <v>2</v>
      </c>
      <c r="F43" s="620"/>
      <c r="G43" s="620"/>
      <c r="H43" s="237"/>
      <c r="I43" s="617"/>
      <c r="J43" s="237"/>
      <c r="K43" s="620"/>
      <c r="L43" s="229"/>
    </row>
    <row r="44" spans="2:13" ht="4.5" hidden="1" customHeight="1" outlineLevel="1">
      <c r="B44" s="231"/>
      <c r="C44" s="231"/>
      <c r="D44" s="228"/>
      <c r="E44" s="620"/>
      <c r="F44" s="620"/>
      <c r="G44" s="620"/>
      <c r="H44" s="264"/>
      <c r="I44" s="617"/>
      <c r="J44" s="265"/>
      <c r="K44" s="620"/>
      <c r="L44" s="247"/>
      <c r="M44" s="247"/>
    </row>
    <row r="45" spans="2:13" ht="15.75" hidden="1" customHeight="1" outlineLevel="1">
      <c r="B45" s="266" t="s">
        <v>141</v>
      </c>
      <c r="C45" s="267"/>
      <c r="D45" s="267"/>
      <c r="E45" s="397" t="s">
        <v>6</v>
      </c>
      <c r="F45" s="255"/>
      <c r="G45" s="397" t="str">
        <f>IF(E10&lt;&gt;0,E10,"")</f>
        <v>par veau</v>
      </c>
      <c r="H45" s="255"/>
      <c r="I45" s="618"/>
      <c r="J45" s="399"/>
      <c r="K45" s="622"/>
      <c r="L45" s="229"/>
    </row>
    <row r="46" spans="2:13" hidden="1" outlineLevel="1">
      <c r="B46" s="231" t="s">
        <v>106</v>
      </c>
      <c r="C46" s="231"/>
      <c r="D46" s="231"/>
      <c r="E46" s="2"/>
      <c r="F46" s="268"/>
      <c r="G46" s="417" t="str">
        <f>IF(AND($E$10=Lég_Choix!B27,$E$15&gt;0,E46&gt;0),E46/$E$15,IF(AND($E$10=Lég_Choix!B28,$G$17&gt;0,E46&gt;0),E46/$G$17,IF(AND($E$10=Lég_Choix!B29,E46&gt;0),E46/$E$54,"")))</f>
        <v/>
      </c>
      <c r="H46" s="418"/>
      <c r="I46" s="318" t="str">
        <f>IF(OR(E8="",E10="",E46=""),"",'Coef+Ind'!J222)</f>
        <v/>
      </c>
      <c r="J46" s="419"/>
      <c r="K46" s="296" t="str">
        <f>IF(AND(G46&lt;&gt;0,I46&lt;&gt;""),G46-I46,"")</f>
        <v/>
      </c>
      <c r="L46" s="229"/>
    </row>
    <row r="47" spans="2:13" hidden="1" outlineLevel="1">
      <c r="B47" s="231" t="s">
        <v>110</v>
      </c>
      <c r="C47" s="231"/>
      <c r="D47" s="231"/>
      <c r="E47" s="373">
        <f>SUM(E48:E52)</f>
        <v>0</v>
      </c>
      <c r="F47" s="268"/>
      <c r="G47" s="417" t="str">
        <f>IF(AND($E$10=Lég_Choix!B27,$E$15&gt;0,E47&gt;0),E47/$E$15,IF(AND($E$10=Lég_Choix!B28,$G$17&gt;0,E47&gt;0),E47/$G$17,IF(AND($E$10=Lég_Choix!B29,E47&gt;0),E47/$E$54,"")))</f>
        <v/>
      </c>
      <c r="H47" s="418"/>
      <c r="I47" s="318" t="str">
        <f>IF(OR(E8="",E10="",E47=0),"",'Coef+Ind'!J223)</f>
        <v/>
      </c>
      <c r="J47" s="419"/>
      <c r="K47" s="296" t="str">
        <f t="shared" ref="K47:K52" si="2">IF(AND(G47&lt;&gt;0,I47&lt;&gt;""),G47-I47,"")</f>
        <v/>
      </c>
      <c r="L47" s="229"/>
    </row>
    <row r="48" spans="2:13" hidden="1" outlineLevel="1">
      <c r="B48" s="228"/>
      <c r="C48" s="261" t="s">
        <v>107</v>
      </c>
      <c r="D48" s="231"/>
      <c r="E48" s="371"/>
      <c r="F48" s="270"/>
      <c r="G48" s="421" t="str">
        <f>IF(AND($E$10=Lég_Choix!B27,$E$15&gt;0,E48&gt;0),E48/$E$15,IF(AND($E$10=Lég_Choix!B28,$G$17&gt;0,E48&gt;0),E48/$G$17,IF(AND($E$10=Lég_Choix!B29,E48&gt;0),E48/$E$54,"")))</f>
        <v/>
      </c>
      <c r="H48" s="420"/>
      <c r="I48" s="421" t="str">
        <f>IF(OR(E8="",E10="",E48=""),"",'Coef+Ind'!J225)</f>
        <v/>
      </c>
      <c r="J48" s="419"/>
      <c r="K48" s="421" t="str">
        <f>IF(AND(G48&lt;&gt;0,I48&lt;&gt;""),G48-I48,"")</f>
        <v/>
      </c>
      <c r="L48" s="229"/>
    </row>
    <row r="49" spans="2:13" hidden="1" outlineLevel="1">
      <c r="B49" s="228"/>
      <c r="C49" s="261" t="s">
        <v>48</v>
      </c>
      <c r="D49" s="231"/>
      <c r="E49" s="371"/>
      <c r="F49" s="270"/>
      <c r="G49" s="421" t="str">
        <f>IF(AND($E$10=Lég_Choix!B27,$E$15&gt;0,E49&gt;0),E49/$E$15,IF(AND($E$10=Lég_Choix!B28,$G$17&gt;0,E49&gt;0),E49/$G$17,IF(AND($E$10=Lég_Choix!B29,E49&gt;0),E49/$E$54,"")))</f>
        <v/>
      </c>
      <c r="H49" s="420"/>
      <c r="I49" s="421" t="str">
        <f>IF(OR(E8="",E10="",E49=""),"",'Coef+Ind'!J226)</f>
        <v/>
      </c>
      <c r="J49" s="419"/>
      <c r="K49" s="421" t="str">
        <f t="shared" si="2"/>
        <v/>
      </c>
      <c r="L49" s="229"/>
      <c r="M49" s="370"/>
    </row>
    <row r="50" spans="2:13" hidden="1" outlineLevel="1">
      <c r="B50" s="228"/>
      <c r="C50" s="261" t="s">
        <v>59</v>
      </c>
      <c r="D50" s="231"/>
      <c r="E50" s="371"/>
      <c r="F50" s="270"/>
      <c r="G50" s="421" t="str">
        <f>IF(AND($E$10=Lég_Choix!B27,$E$15&gt;0,E50&gt;0),E50/$E$15,IF(AND($E$10=Lég_Choix!B28,$G$17&gt;0,E50&gt;0),E50/$G$17,IF(AND($E$10=Lég_Choix!B29,E50&gt;0),E50/$E$54,"")))</f>
        <v/>
      </c>
      <c r="H50" s="420"/>
      <c r="I50" s="421" t="str">
        <f>IF(OR(E8="",E10="",E50=""),"",'Coef+Ind'!J227)</f>
        <v/>
      </c>
      <c r="J50" s="419"/>
      <c r="K50" s="421" t="str">
        <f t="shared" si="2"/>
        <v/>
      </c>
      <c r="L50" s="229"/>
    </row>
    <row r="51" spans="2:13" hidden="1" outlineLevel="1">
      <c r="B51" s="228"/>
      <c r="C51" s="261" t="s">
        <v>108</v>
      </c>
      <c r="D51" s="231"/>
      <c r="E51" s="371"/>
      <c r="F51" s="270"/>
      <c r="G51" s="421" t="str">
        <f>IF(AND($E$10=Lég_Choix!B27,$E$15&gt;0,E51&gt;0),E51/$E$15,IF(AND($E$10=Lég_Choix!B28,$G$17&gt;0,E51&gt;0),E51/$G$17,IF(AND($E$10=Lég_Choix!B29,E51&gt;0),E51/$E$54,"")))</f>
        <v/>
      </c>
      <c r="H51" s="420"/>
      <c r="I51" s="421" t="str">
        <f>IF(OR(E8="",E10="",E51=""),"",'Coef+Ind'!J228)</f>
        <v/>
      </c>
      <c r="J51" s="419"/>
      <c r="K51" s="421" t="str">
        <f t="shared" si="2"/>
        <v/>
      </c>
      <c r="L51" s="229"/>
    </row>
    <row r="52" spans="2:13" hidden="1" outlineLevel="1">
      <c r="B52" s="228"/>
      <c r="C52" s="261" t="s">
        <v>140</v>
      </c>
      <c r="D52" s="231"/>
      <c r="E52" s="371"/>
      <c r="F52" s="270"/>
      <c r="G52" s="421" t="str">
        <f>IF(AND($E$10=Lég_Choix!B27,$E$15&gt;0,E52&gt;0),E52/$E$15,IF(AND($E$10=Lég_Choix!B28,$G$17&gt;0,E52&gt;0),E52/$G$17,IF(AND($E$10=Lég_Choix!B29,E52&gt;0),E52/$E$54,"")))</f>
        <v/>
      </c>
      <c r="H52" s="420"/>
      <c r="I52" s="421" t="str">
        <f>IF(OR(E8="",E10="",E52=""),"",'Coef+Ind'!J229)</f>
        <v/>
      </c>
      <c r="J52" s="419"/>
      <c r="K52" s="421" t="str">
        <f t="shared" si="2"/>
        <v/>
      </c>
      <c r="L52" s="229"/>
    </row>
    <row r="53" spans="2:13" ht="4.5" hidden="1" customHeight="1" outlineLevel="1">
      <c r="B53" s="249"/>
      <c r="C53" s="249"/>
      <c r="D53" s="249"/>
      <c r="E53" s="271"/>
      <c r="F53" s="271"/>
      <c r="G53" s="272"/>
      <c r="H53" s="249"/>
      <c r="I53" s="249"/>
      <c r="J53" s="249"/>
      <c r="K53" s="271"/>
      <c r="L53" s="229"/>
    </row>
    <row r="54" spans="2:13" hidden="1" outlineLevel="1">
      <c r="B54" s="231" t="s">
        <v>111</v>
      </c>
      <c r="C54" s="231"/>
      <c r="D54" s="231"/>
      <c r="E54" s="273">
        <f>E46+E47</f>
        <v>0</v>
      </c>
      <c r="F54" s="274"/>
      <c r="G54" s="422" t="str">
        <f>IF(AND(SUM(E46:E47)&gt;0,E10&lt;&gt;""),SUM(G46:G47),"")</f>
        <v/>
      </c>
      <c r="H54" s="423"/>
      <c r="I54" s="303" t="str">
        <f>IF(OR(I46="",I47=""),"",SUM(I46:I47))</f>
        <v/>
      </c>
      <c r="J54" s="418"/>
      <c r="K54" s="303" t="str">
        <f>IF(I54="","",IF(OR($E$10=Lég_Choix!B29,G54=""),"",G54-I54))</f>
        <v/>
      </c>
      <c r="L54" s="229"/>
    </row>
    <row r="55" spans="2:13" hidden="1" outlineLevel="1">
      <c r="B55" s="231"/>
      <c r="C55" s="231"/>
      <c r="D55" s="231"/>
      <c r="E55" s="270"/>
      <c r="F55" s="270"/>
      <c r="G55" s="275"/>
      <c r="H55" s="254"/>
      <c r="I55" s="275"/>
      <c r="J55" s="254"/>
      <c r="K55" s="276"/>
      <c r="L55" s="229"/>
    </row>
    <row r="56" spans="2:13" hidden="1" outlineLevel="1">
      <c r="B56" s="266" t="s">
        <v>112</v>
      </c>
      <c r="C56" s="267"/>
      <c r="D56" s="277"/>
      <c r="E56" s="278"/>
      <c r="F56" s="278"/>
      <c r="G56" s="279"/>
      <c r="H56" s="280"/>
      <c r="I56" s="279"/>
      <c r="J56" s="280"/>
      <c r="K56" s="279"/>
      <c r="L56" s="229"/>
    </row>
    <row r="57" spans="2:13" hidden="1" outlineLevel="1">
      <c r="B57" s="254" t="s">
        <v>115</v>
      </c>
      <c r="C57" s="233"/>
      <c r="D57" s="231"/>
      <c r="E57" s="3"/>
      <c r="F57" s="270"/>
      <c r="G57" s="318" t="str">
        <f>IF(AND($E$10=Lég_Choix!B27,$E$15&gt;0,E57&gt;0),E57/$E$15,IF(AND($E$10=Lég_Choix!B28,$G$17&gt;0,E57&gt;0),E57/$G$17,IF(AND($E$10=Lég_Choix!B29,E57&gt;0),E57/$E$61,"")))</f>
        <v/>
      </c>
      <c r="H57" s="418"/>
      <c r="I57" s="318" t="str">
        <f>IF(OR(E8="",E10="",E57=""),"",'Coef+Ind'!J232)</f>
        <v/>
      </c>
      <c r="J57" s="418"/>
      <c r="K57" s="296" t="str">
        <f t="shared" ref="K57" si="3">IF(AND(G57&lt;&gt;0,I57&lt;&gt;""),G57-I57,"")</f>
        <v/>
      </c>
      <c r="L57" s="229"/>
    </row>
    <row r="58" spans="2:13" ht="4.5" hidden="1" customHeight="1" outlineLevel="1">
      <c r="B58" s="254"/>
      <c r="C58" s="231"/>
      <c r="D58" s="228"/>
      <c r="E58" s="281"/>
      <c r="F58" s="281"/>
      <c r="G58" s="296"/>
      <c r="H58" s="296"/>
      <c r="I58" s="298"/>
      <c r="J58" s="298"/>
      <c r="K58" s="298"/>
      <c r="L58" s="247"/>
      <c r="M58" s="247"/>
    </row>
    <row r="59" spans="2:13" hidden="1" outlineLevel="1">
      <c r="B59" s="254" t="s">
        <v>116</v>
      </c>
      <c r="C59" s="233"/>
      <c r="D59" s="231"/>
      <c r="E59" s="3"/>
      <c r="F59" s="270"/>
      <c r="G59" s="318" t="str">
        <f>IF(AND($E$10=Lég_Choix!B27,$E$15&gt;0,E59&gt;0),E59/$E$15,IF(AND($E$10=Lég_Choix!B28,$G$17&gt;0,E59&gt;0),E59/$G$17,IF(AND($E$10=Lég_Choix!B29,E59&gt;0),E59/$E$61,"")))</f>
        <v/>
      </c>
      <c r="H59" s="418"/>
      <c r="I59" s="318" t="str">
        <f>IF(OR(E8="",E10="",E59=""),"",'Coef+Ind'!J233)</f>
        <v/>
      </c>
      <c r="J59" s="418"/>
      <c r="K59" s="296" t="str">
        <f t="shared" ref="K59" si="4">IF(AND(G59&lt;&gt;0,I59&lt;&gt;""),G59-I59,"")</f>
        <v/>
      </c>
      <c r="L59" s="229"/>
    </row>
    <row r="60" spans="2:13" ht="4.5" hidden="1" customHeight="1" outlineLevel="1">
      <c r="B60" s="249"/>
      <c r="C60" s="249"/>
      <c r="D60" s="249"/>
      <c r="E60" s="271"/>
      <c r="F60" s="271"/>
      <c r="G60" s="424"/>
      <c r="H60" s="425"/>
      <c r="I60" s="327"/>
      <c r="J60" s="425"/>
      <c r="K60" s="425"/>
      <c r="L60" s="229"/>
    </row>
    <row r="61" spans="2:13" hidden="1" outlineLevel="1">
      <c r="B61" s="231" t="s">
        <v>117</v>
      </c>
      <c r="C61" s="231"/>
      <c r="D61" s="231"/>
      <c r="E61" s="369">
        <f>E57+E59</f>
        <v>0</v>
      </c>
      <c r="F61" s="274"/>
      <c r="G61" s="303" t="str">
        <f>IF(AND(G57="",G59=""),"",IF(AND(G57&lt;&gt;0,G59=""),G57,IF(AND(G57="",G59&lt;&gt;0),G59,G57+G59)))</f>
        <v/>
      </c>
      <c r="H61" s="304"/>
      <c r="I61" s="303" t="str">
        <f>IF(OR(E8="",E10="",I57="",I59=""),"",I57+I59)</f>
        <v/>
      </c>
      <c r="J61" s="305"/>
      <c r="K61" s="303" t="str">
        <f>IF(AND($E$8&lt;&gt;"",$E$10&lt;&gt;"",K57&lt;&gt;"",K59&lt;&gt;""),IF(OR($E$10=Lég_Choix!B29,G61=""),"",G61-I61),"")</f>
        <v/>
      </c>
      <c r="L61" s="229"/>
    </row>
    <row r="62" spans="2:13" hidden="1" outlineLevel="1">
      <c r="B62" s="249"/>
      <c r="C62" s="249"/>
      <c r="D62" s="234"/>
      <c r="E62" s="283"/>
      <c r="F62" s="283"/>
      <c r="G62" s="283"/>
      <c r="H62" s="284"/>
      <c r="I62" s="283"/>
      <c r="J62" s="284"/>
      <c r="K62" s="283"/>
      <c r="L62" s="229"/>
    </row>
    <row r="63" spans="2:13" hidden="1" outlineLevel="1">
      <c r="B63" s="231" t="s">
        <v>118</v>
      </c>
      <c r="C63" s="231"/>
      <c r="D63" s="231"/>
      <c r="E63" s="369">
        <f>E54-E61</f>
        <v>0</v>
      </c>
      <c r="F63" s="274"/>
      <c r="G63" s="422" t="str">
        <f>IF(AND($E$10=Lég_Choix!B27,$E$15&gt;0,E63&gt;0),E63/$E$15,IF(AND($E$10=Lég_Choix!B28,$G$17&gt;0,E63&gt;0),E63/$G$17,IF(AND($E$10=Lég_Choix!B29,E63&gt;0),E63/$E$54,"")))</f>
        <v/>
      </c>
      <c r="H63" s="304"/>
      <c r="I63" s="422" t="str">
        <f>IF(OR(I54="",I61=""),"",IF(OR(E8="",E63=0),"",IF(OR(E10=Lég_Choix!B27,E10=Lég_Choix!B28),I54-I61,IF(E10=Lég_Choix!B29,('Coef+Ind'!D221-'Coef+Ind'!D231)/'Coef+Ind'!D221,""))))</f>
        <v/>
      </c>
      <c r="J63" s="305"/>
      <c r="K63" s="422" t="str">
        <f t="shared" ref="K63" si="5">IF(AND(G63&lt;&gt;0,I63&lt;&gt;""),G63-I63,"")</f>
        <v/>
      </c>
      <c r="L63" s="229"/>
    </row>
    <row r="64" spans="2:13" ht="4.5" hidden="1" customHeight="1" outlineLevel="1">
      <c r="B64" s="231"/>
      <c r="C64" s="231"/>
      <c r="D64" s="228"/>
      <c r="E64" s="228"/>
      <c r="F64" s="228"/>
      <c r="G64" s="245"/>
      <c r="H64" s="245"/>
      <c r="I64" s="246"/>
      <c r="J64" s="246"/>
      <c r="K64" s="246"/>
      <c r="L64" s="247"/>
      <c r="M64" s="247"/>
    </row>
    <row r="65" spans="2:13" hidden="1" outlineLevel="1">
      <c r="B65" s="231" t="s">
        <v>119</v>
      </c>
      <c r="C65" s="231"/>
      <c r="D65" s="231"/>
      <c r="E65" s="372" t="str">
        <f>IF(E54&lt;&gt;0,E61/E54,"")</f>
        <v/>
      </c>
      <c r="F65" s="231"/>
      <c r="G65" s="285"/>
      <c r="H65" s="233"/>
      <c r="I65" s="285" t="str">
        <f>IF(OR(E65="",E10="",E8=""),"",'Coef+Ind'!J235)</f>
        <v/>
      </c>
      <c r="J65" s="285"/>
      <c r="K65" s="285" t="str">
        <f>IF(I65="","",E65-I65)</f>
        <v/>
      </c>
      <c r="L65" s="229"/>
    </row>
    <row r="66" spans="2:13" hidden="1" outlineLevel="1">
      <c r="B66" s="231"/>
      <c r="C66" s="231"/>
      <c r="D66" s="231"/>
      <c r="E66" s="231"/>
      <c r="F66" s="231"/>
      <c r="G66" s="285"/>
      <c r="H66" s="233"/>
      <c r="I66" s="285"/>
      <c r="J66" s="286"/>
      <c r="K66" s="287"/>
      <c r="L66" s="229"/>
    </row>
    <row r="67" spans="2:13" collapsed="1">
      <c r="B67" s="251" t="s">
        <v>11</v>
      </c>
      <c r="C67" s="252"/>
      <c r="D67" s="231"/>
      <c r="E67" s="231"/>
      <c r="F67" s="231"/>
      <c r="G67" s="231"/>
      <c r="H67" s="231"/>
      <c r="I67" s="231"/>
      <c r="J67" s="231"/>
      <c r="K67" s="231"/>
      <c r="L67" s="229"/>
    </row>
    <row r="68" spans="2:13">
      <c r="B68" s="249"/>
      <c r="C68" s="249"/>
      <c r="D68" s="249"/>
      <c r="E68" s="249"/>
      <c r="F68" s="249"/>
      <c r="G68" s="249"/>
      <c r="H68" s="249"/>
      <c r="I68" s="249"/>
      <c r="J68" s="249"/>
      <c r="K68" s="249"/>
      <c r="L68" s="229"/>
    </row>
    <row r="69" spans="2:13">
      <c r="B69" s="623" t="s">
        <v>37</v>
      </c>
      <c r="C69" s="623"/>
      <c r="D69" s="623"/>
      <c r="E69" s="623"/>
      <c r="F69" s="623"/>
      <c r="G69" s="623"/>
      <c r="H69" s="623"/>
      <c r="I69" s="623"/>
      <c r="J69" s="623"/>
      <c r="K69" s="623"/>
      <c r="L69" s="229"/>
    </row>
    <row r="70" spans="2:13" ht="4.5" customHeight="1">
      <c r="B70" s="231"/>
      <c r="C70" s="231"/>
      <c r="D70" s="231"/>
      <c r="E70" s="619"/>
      <c r="F70" s="619"/>
      <c r="G70" s="619"/>
      <c r="H70" s="231"/>
      <c r="I70" s="231"/>
      <c r="J70" s="231"/>
      <c r="K70" s="231"/>
      <c r="L70" s="229"/>
    </row>
    <row r="71" spans="2:13" ht="30" customHeight="1" thickBot="1">
      <c r="B71" s="288"/>
      <c r="C71" s="288"/>
      <c r="D71" s="252"/>
      <c r="E71" s="289" t="s">
        <v>2</v>
      </c>
      <c r="F71" s="290"/>
      <c r="G71" s="401"/>
      <c r="H71" s="291"/>
      <c r="I71" s="582" t="str">
        <f>IF(E8&lt;&gt;0,E8,"")</f>
        <v>Indexation 2020</v>
      </c>
      <c r="J71" s="292"/>
      <c r="K71" s="402" t="s">
        <v>3</v>
      </c>
      <c r="L71" s="293"/>
      <c r="M71" s="247"/>
    </row>
    <row r="72" spans="2:13" ht="15.75" customHeight="1">
      <c r="B72" s="231"/>
      <c r="C72" s="231"/>
      <c r="D72" s="231"/>
      <c r="E72" s="231"/>
      <c r="F72" s="231"/>
      <c r="G72" s="294"/>
      <c r="H72" s="232"/>
      <c r="I72" s="244"/>
      <c r="J72" s="232"/>
      <c r="K72" s="243"/>
      <c r="L72" s="229"/>
    </row>
    <row r="73" spans="2:13" ht="4.5" customHeight="1">
      <c r="B73" s="231"/>
      <c r="C73" s="231"/>
      <c r="D73" s="228"/>
      <c r="E73" s="228"/>
      <c r="F73" s="228"/>
      <c r="G73" s="245"/>
      <c r="H73" s="245"/>
      <c r="I73" s="246"/>
      <c r="J73" s="246"/>
      <c r="K73" s="246"/>
      <c r="L73" s="247"/>
      <c r="M73" s="247"/>
    </row>
    <row r="74" spans="2:13">
      <c r="B74" s="4" t="s">
        <v>13</v>
      </c>
      <c r="C74" s="5"/>
      <c r="D74" s="252"/>
      <c r="E74" s="6"/>
      <c r="F74" s="6"/>
      <c r="G74" s="6"/>
      <c r="H74" s="6"/>
      <c r="I74" s="6"/>
      <c r="J74" s="6"/>
      <c r="K74" s="6"/>
      <c r="L74" s="229"/>
    </row>
    <row r="75" spans="2:13" ht="4.5" customHeight="1">
      <c r="B75" s="231"/>
      <c r="C75" s="295"/>
      <c r="D75" s="228"/>
      <c r="E75" s="228"/>
      <c r="F75" s="228"/>
      <c r="G75" s="245"/>
      <c r="H75" s="245"/>
      <c r="I75" s="246"/>
      <c r="J75" s="246"/>
      <c r="K75" s="246"/>
      <c r="L75" s="247"/>
      <c r="M75" s="247"/>
    </row>
    <row r="76" spans="2:13" ht="16.5" customHeight="1">
      <c r="B76" s="572" t="s">
        <v>315</v>
      </c>
      <c r="C76" s="295"/>
      <c r="D76" s="228"/>
      <c r="E76" s="3"/>
      <c r="F76" s="281"/>
      <c r="G76" s="296" t="str">
        <f>IF(AND($E$10=Lég_Choix!B27,$E$15&gt;0,E76&gt;0),E76/$E$15,IF(AND($E$10=Lég_Choix!B28,$G$17&gt;0,E76&gt;0),E76/$G$17,IF(AND($E$10=Lég_Choix!B29,E76&gt;0),E76/$E$93,"")))</f>
        <v/>
      </c>
      <c r="H76" s="297"/>
      <c r="I76" s="297" t="str">
        <f>IF(E76="","",IF(OR(E8="",E10=""),"",'Coef+Ind'!J205))</f>
        <v/>
      </c>
      <c r="J76" s="297"/>
      <c r="K76" s="296" t="str">
        <f>IF(OR(G76="",I76=""),"",G76-I76)</f>
        <v/>
      </c>
    </row>
    <row r="77" spans="2:13" ht="4.5" customHeight="1">
      <c r="B77" s="231"/>
      <c r="C77" s="295"/>
      <c r="D77" s="228"/>
      <c r="E77" s="281"/>
      <c r="F77" s="281"/>
      <c r="G77" s="296"/>
      <c r="H77" s="297"/>
      <c r="I77" s="296"/>
      <c r="J77" s="297"/>
      <c r="K77" s="296"/>
    </row>
    <row r="78" spans="2:13" ht="16.5" customHeight="1">
      <c r="B78" s="231" t="s">
        <v>259</v>
      </c>
      <c r="C78" s="295"/>
      <c r="D78" s="231"/>
      <c r="E78" s="3"/>
      <c r="F78" s="270"/>
      <c r="G78" s="296" t="str">
        <f>IF(AND($E$10=Lég_Choix!B27,$E$15&gt;0,E78&gt;0),E78/$E$15,IF(AND($E$10=Lég_Choix!B28,$G$17&gt;0,E78&gt;0),E78/$G$17,IF(AND($E$10=Lég_Choix!B29,E78&gt;0),E78/$E$93,"")))</f>
        <v/>
      </c>
      <c r="H78" s="281"/>
      <c r="I78" s="412" t="s">
        <v>34</v>
      </c>
      <c r="J78" s="281"/>
      <c r="K78" s="296"/>
    </row>
    <row r="79" spans="2:13" ht="4.5" customHeight="1">
      <c r="B79" s="231"/>
      <c r="C79" s="295"/>
      <c r="D79" s="228"/>
      <c r="E79" s="281"/>
      <c r="F79" s="281"/>
      <c r="G79" s="296"/>
      <c r="H79" s="297"/>
      <c r="I79" s="296"/>
      <c r="J79" s="297"/>
      <c r="K79" s="296"/>
    </row>
    <row r="80" spans="2:13" ht="16.5" customHeight="1">
      <c r="B80" s="547" t="s">
        <v>6</v>
      </c>
      <c r="C80" s="295"/>
      <c r="D80" s="231"/>
      <c r="E80" s="548">
        <f>E76+E78</f>
        <v>0</v>
      </c>
      <c r="F80" s="270"/>
      <c r="G80" s="521" t="str">
        <f>IF(AND(G76="",G78=""),"",IF(AND(G76&lt;&gt;"",G78=""),G76,G78+G76))</f>
        <v/>
      </c>
      <c r="H80" s="281"/>
      <c r="I80" s="549" t="str">
        <f>I76</f>
        <v/>
      </c>
      <c r="J80" s="296"/>
      <c r="K80" s="521" t="str">
        <f>IF(OR(G80="",I80=""),"",G80-I80)</f>
        <v/>
      </c>
    </row>
    <row r="81" spans="2:13" ht="4.5" customHeight="1">
      <c r="B81" s="277"/>
      <c r="C81" s="516"/>
      <c r="D81" s="277"/>
      <c r="E81" s="278"/>
      <c r="F81" s="278"/>
      <c r="G81" s="545"/>
      <c r="H81" s="545"/>
      <c r="I81" s="546"/>
      <c r="J81" s="546"/>
      <c r="K81" s="546"/>
      <c r="L81" s="247"/>
      <c r="M81" s="247"/>
    </row>
    <row r="82" spans="2:13" ht="4.5" customHeight="1">
      <c r="B82" s="231"/>
      <c r="C82" s="295"/>
      <c r="D82" s="228"/>
      <c r="E82" s="281"/>
      <c r="F82" s="281"/>
      <c r="G82" s="296"/>
      <c r="H82" s="296"/>
      <c r="I82" s="298"/>
      <c r="J82" s="298"/>
      <c r="K82" s="298"/>
      <c r="L82" s="247"/>
      <c r="M82" s="247"/>
    </row>
    <row r="83" spans="2:13" ht="16.5" customHeight="1">
      <c r="B83" s="231" t="s">
        <v>139</v>
      </c>
      <c r="C83" s="295"/>
      <c r="D83" s="228"/>
      <c r="E83" s="3"/>
      <c r="F83" s="281"/>
      <c r="G83" s="296" t="str">
        <f>IF(AND($E$10=Lég_Choix!B27,$E$15&gt;0,E83&gt;0),E83/$E$15,IF(AND($E$10=Lég_Choix!B28,$G$17&gt;0,E83&gt;0),E83/$G$17,IF(AND($E$10=Lég_Choix!B29,E83&gt;0),E83/$E$93,"")))</f>
        <v/>
      </c>
      <c r="H83" s="297"/>
      <c r="I83" s="296" t="str">
        <f>IF(E83="","",IF(OR(E8="",E10=""),"",'Coef+Ind'!J210))</f>
        <v/>
      </c>
      <c r="J83" s="297"/>
      <c r="K83" s="296" t="str">
        <f>IF(OR(G83="",I83=""),"",G83-I83)</f>
        <v/>
      </c>
    </row>
    <row r="84" spans="2:13" ht="4.5" customHeight="1">
      <c r="B84" s="277"/>
      <c r="C84" s="516"/>
      <c r="D84" s="277"/>
      <c r="E84" s="278"/>
      <c r="F84" s="278"/>
      <c r="G84" s="545"/>
      <c r="H84" s="545"/>
      <c r="I84" s="546"/>
      <c r="J84" s="546"/>
      <c r="K84" s="546"/>
      <c r="L84" s="247"/>
      <c r="M84" s="247"/>
    </row>
    <row r="85" spans="2:13" ht="4.5" customHeight="1">
      <c r="B85" s="231"/>
      <c r="C85" s="295"/>
      <c r="D85" s="228"/>
      <c r="E85" s="281"/>
      <c r="F85" s="281"/>
      <c r="G85" s="296"/>
      <c r="H85" s="296"/>
      <c r="I85" s="298"/>
      <c r="J85" s="298"/>
      <c r="K85" s="298"/>
      <c r="L85" s="247"/>
      <c r="M85" s="247"/>
    </row>
    <row r="86" spans="2:13" ht="16.5" customHeight="1">
      <c r="B86" s="231" t="s">
        <v>15</v>
      </c>
      <c r="C86" s="295"/>
      <c r="D86" s="228"/>
      <c r="E86" s="3"/>
      <c r="F86" s="281"/>
      <c r="G86" s="296" t="str">
        <f>IF(AND($E$10=Lég_Choix!B27,$E$15&gt;0,E86&gt;0),E86/$E$15,IF(AND($E$10=Lég_Choix!B28,$G$17&gt;0,E86&gt;0),E86/$G$17,IF(AND($E$10=Lég_Choix!B29,E86&gt;0),E86/$E$93,"")))</f>
        <v/>
      </c>
      <c r="H86" s="297"/>
      <c r="I86" s="296" t="str">
        <f>IF(E86="","",IF(OR(E8="",E10=""),"",'Coef+Ind'!J206))</f>
        <v/>
      </c>
      <c r="J86" s="297"/>
      <c r="K86" s="296" t="str">
        <f>IF(OR(G86="",I86=""),"",G86-I86)</f>
        <v/>
      </c>
    </row>
    <row r="87" spans="2:13" ht="4.5" customHeight="1">
      <c r="B87" s="231"/>
      <c r="C87" s="295"/>
      <c r="D87" s="228"/>
      <c r="E87" s="281"/>
      <c r="F87" s="281"/>
      <c r="G87" s="296"/>
      <c r="H87" s="297"/>
      <c r="I87" s="296"/>
      <c r="J87" s="297"/>
      <c r="K87" s="296"/>
    </row>
    <row r="88" spans="2:13" ht="16.5" customHeight="1">
      <c r="B88" s="231" t="s">
        <v>260</v>
      </c>
      <c r="C88" s="295"/>
      <c r="D88" s="231"/>
      <c r="E88" s="3"/>
      <c r="F88" s="270"/>
      <c r="G88" s="296" t="str">
        <f>IF(AND($E$10=Lég_Choix!B27,$E$15&gt;0,E88&gt;0),E88/$E$15,IF(AND($E$10=Lég_Choix!B28,$G$17&gt;0,E88&gt;0),E88/$G$17,IF(AND($E$10=Lég_Choix!B29,E88&gt;0),E88/$E$93,"")))</f>
        <v/>
      </c>
      <c r="H88" s="281"/>
      <c r="I88" s="412" t="s">
        <v>34</v>
      </c>
      <c r="J88" s="281"/>
      <c r="K88" s="296"/>
    </row>
    <row r="89" spans="2:13" ht="4.5" customHeight="1">
      <c r="B89" s="231"/>
      <c r="C89" s="295"/>
      <c r="D89" s="228"/>
      <c r="E89" s="281"/>
      <c r="F89" s="281"/>
      <c r="G89" s="296"/>
      <c r="H89" s="297"/>
      <c r="I89" s="296"/>
      <c r="J89" s="297"/>
      <c r="K89" s="296"/>
    </row>
    <row r="90" spans="2:13" ht="16.5" customHeight="1">
      <c r="B90" s="547" t="s">
        <v>6</v>
      </c>
      <c r="C90" s="295"/>
      <c r="D90" s="231"/>
      <c r="E90" s="548">
        <f>E86+E88</f>
        <v>0</v>
      </c>
      <c r="F90" s="270"/>
      <c r="G90" s="521" t="str">
        <f>IF(AND(G86="",G88=""),"",IF(AND(G86&lt;&gt;"",G88=""),G86,G88+G86))</f>
        <v/>
      </c>
      <c r="H90" s="281"/>
      <c r="I90" s="549" t="str">
        <f>I86</f>
        <v/>
      </c>
      <c r="J90" s="296"/>
      <c r="K90" s="521" t="str">
        <f>IF(OR(G90="",I90=""),"",G90-I90)</f>
        <v/>
      </c>
    </row>
    <row r="91" spans="2:13" ht="4.5" customHeight="1">
      <c r="B91" s="249"/>
      <c r="C91" s="299"/>
      <c r="D91" s="234"/>
      <c r="E91" s="300"/>
      <c r="F91" s="300"/>
      <c r="G91" s="283"/>
      <c r="H91" s="283"/>
      <c r="I91" s="301"/>
      <c r="J91" s="283"/>
      <c r="K91" s="283"/>
      <c r="L91" s="229"/>
    </row>
    <row r="92" spans="2:13" ht="4.5" customHeight="1">
      <c r="B92" s="233"/>
      <c r="C92" s="233"/>
      <c r="D92" s="231"/>
      <c r="E92" s="270"/>
      <c r="F92" s="270"/>
      <c r="G92" s="275"/>
      <c r="H92" s="275"/>
      <c r="I92" s="550"/>
      <c r="J92" s="275"/>
      <c r="K92" s="275"/>
      <c r="L92" s="229"/>
    </row>
    <row r="93" spans="2:13">
      <c r="B93" s="251" t="s">
        <v>14</v>
      </c>
      <c r="C93" s="302"/>
      <c r="D93" s="302"/>
      <c r="E93" s="273">
        <f>E76+E78+E83+E86+E88</f>
        <v>0</v>
      </c>
      <c r="F93" s="274"/>
      <c r="G93" s="303" t="str">
        <f>IF(AND(G76="",G78="",G83="",G86="",G88=""),"",IF(E10="","",IF(E93&lt;&gt;0,E93/IF($E$10=Lég_Choix!B27,$E$15,IF($E$10=Lég_Choix!B28,$G$17,IF($E$10=Lég_Choix!B29,$E$93,""))),"")))</f>
        <v/>
      </c>
      <c r="H93" s="304"/>
      <c r="I93" s="303" t="str">
        <f>IF(E93=0,"",IF(OR(E8="",E10=""),"",SUM(I76,I83,I86)))</f>
        <v/>
      </c>
      <c r="J93" s="305"/>
      <c r="K93" s="303" t="str">
        <f>IF(OR(E8="",E10=""),"",IF(OR($E$10=Lég_Choix!B29,G93=""),"",G93-I93))</f>
        <v/>
      </c>
      <c r="L93" s="229"/>
    </row>
    <row r="94" spans="2:13" ht="4.5" customHeight="1">
      <c r="B94" s="231"/>
      <c r="C94" s="231"/>
      <c r="D94" s="228"/>
      <c r="E94" s="281"/>
      <c r="F94" s="281"/>
      <c r="G94" s="282"/>
      <c r="H94" s="282"/>
      <c r="I94" s="306"/>
      <c r="J94" s="306"/>
      <c r="K94" s="306"/>
      <c r="L94" s="247"/>
      <c r="M94" s="247"/>
    </row>
    <row r="95" spans="2:13">
      <c r="B95" s="4" t="s">
        <v>12</v>
      </c>
      <c r="C95" s="5"/>
      <c r="D95" s="252"/>
      <c r="E95" s="7"/>
      <c r="F95" s="7"/>
      <c r="G95" s="7"/>
      <c r="H95" s="7"/>
      <c r="I95" s="7"/>
      <c r="J95" s="7"/>
      <c r="K95" s="7"/>
      <c r="L95" s="229"/>
    </row>
    <row r="96" spans="2:13" ht="4.5" customHeight="1">
      <c r="B96" s="609"/>
      <c r="C96" s="610"/>
      <c r="D96" s="228"/>
      <c r="E96" s="281"/>
      <c r="F96" s="281"/>
      <c r="G96" s="282"/>
      <c r="H96" s="282"/>
      <c r="I96" s="306"/>
      <c r="J96" s="306"/>
      <c r="K96" s="306"/>
      <c r="L96" s="247"/>
      <c r="M96" s="247"/>
    </row>
    <row r="97" spans="1:13" ht="16.5" customHeight="1">
      <c r="B97" s="609" t="s">
        <v>174</v>
      </c>
      <c r="C97" s="610"/>
      <c r="D97" s="228"/>
      <c r="E97" s="3"/>
      <c r="F97" s="281"/>
      <c r="G97" s="296" t="str">
        <f>IF(AND($E$10=Lég_Choix!B27,$E$15&gt;0,E97&gt;0),E97/$E$15,IF(AND($E$10=Lég_Choix!B28,$G$17&gt;0,E97&gt;0),E97/$G$17,IF(AND($E$10=Lég_Choix!B29,E97&gt;0),E97/$E$153,"")))</f>
        <v/>
      </c>
      <c r="H97" s="296"/>
      <c r="I97" s="296" t="str">
        <f>IF(E97="","",IF(OR(E8="",E10=""),"",'Coef+Ind'!J16))</f>
        <v/>
      </c>
      <c r="J97" s="306"/>
      <c r="K97" s="296" t="str">
        <f>IF(OR(G97="",I97=""),"",G97-I97)</f>
        <v/>
      </c>
      <c r="L97" s="247"/>
      <c r="M97" s="247"/>
    </row>
    <row r="98" spans="1:13" ht="4.5" customHeight="1">
      <c r="B98" s="551"/>
      <c r="C98" s="552"/>
      <c r="D98" s="277"/>
      <c r="E98" s="278"/>
      <c r="F98" s="278"/>
      <c r="G98" s="545"/>
      <c r="H98" s="545"/>
      <c r="I98" s="545"/>
      <c r="J98" s="553"/>
      <c r="K98" s="545"/>
      <c r="L98" s="247"/>
      <c r="M98" s="247"/>
    </row>
    <row r="99" spans="1:13" ht="4.5" customHeight="1">
      <c r="B99" s="542"/>
      <c r="C99" s="543"/>
      <c r="D99" s="228"/>
      <c r="E99" s="281"/>
      <c r="F99" s="281"/>
      <c r="G99" s="296"/>
      <c r="H99" s="296"/>
      <c r="I99" s="296"/>
      <c r="J99" s="306"/>
      <c r="K99" s="296"/>
      <c r="L99" s="247"/>
      <c r="M99" s="247"/>
    </row>
    <row r="100" spans="1:13" ht="16.5" customHeight="1">
      <c r="B100" s="609" t="s">
        <v>175</v>
      </c>
      <c r="C100" s="610"/>
      <c r="D100" s="228"/>
      <c r="E100" s="3"/>
      <c r="F100" s="281"/>
      <c r="G100" s="296" t="str">
        <f>IF(AND($E$10=Lég_Choix!B27,$E$15&gt;0,E100&gt;0),E100/$E$15,IF(AND($E$10=Lég_Choix!B28,$G$17&gt;0,E100&gt;0),E100/$G$17,IF(AND($E$10=Lég_Choix!B29,E100&gt;0),E100/$E$153,"")))</f>
        <v/>
      </c>
      <c r="H100" s="296"/>
      <c r="I100" s="296" t="str">
        <f>IF(E100="","",IF(OR(E8="",E10=""),"",'Coef+Ind'!J25))</f>
        <v/>
      </c>
      <c r="J100" s="306"/>
      <c r="K100" s="296" t="str">
        <f>IF(OR(G100="",I100=""),"",G100-I100)</f>
        <v/>
      </c>
      <c r="L100" s="247"/>
      <c r="M100" s="247"/>
    </row>
    <row r="101" spans="1:13" ht="4.5" customHeight="1">
      <c r="B101" s="231"/>
      <c r="C101" s="295"/>
      <c r="D101" s="228"/>
      <c r="E101" s="281"/>
      <c r="F101" s="281"/>
      <c r="G101" s="296"/>
      <c r="H101" s="297"/>
      <c r="I101" s="296"/>
      <c r="J101" s="297"/>
      <c r="K101" s="296"/>
    </row>
    <row r="102" spans="1:13" ht="16.5" customHeight="1">
      <c r="B102" s="231" t="s">
        <v>260</v>
      </c>
      <c r="C102" s="295"/>
      <c r="D102" s="231"/>
      <c r="E102" s="3"/>
      <c r="F102" s="270"/>
      <c r="G102" s="296" t="str">
        <f>IF(AND($E$10=Lég_Choix!B27,$E$15&gt;0,E102&gt;0),E102/$E$15,IF(AND($E$10=Lég_Choix!B28,$G$17&gt;0,E102&gt;0),E102/$G$17,IF(AND($E$10=Lég_Choix!B29,E102&gt;0),E102/$E$93,"")))</f>
        <v/>
      </c>
      <c r="H102" s="281"/>
      <c r="I102" s="412" t="s">
        <v>34</v>
      </c>
      <c r="J102" s="281"/>
      <c r="K102" s="296"/>
    </row>
    <row r="103" spans="1:13" ht="4.5" customHeight="1">
      <c r="B103" s="231"/>
      <c r="C103" s="295"/>
      <c r="D103" s="231"/>
      <c r="E103" s="270"/>
      <c r="F103" s="270"/>
      <c r="G103" s="318"/>
      <c r="H103" s="473"/>
      <c r="I103" s="318"/>
      <c r="J103" s="473"/>
      <c r="K103" s="318"/>
    </row>
    <row r="104" spans="1:13" ht="16.5" customHeight="1">
      <c r="B104" s="547" t="s">
        <v>6</v>
      </c>
      <c r="C104" s="295"/>
      <c r="D104" s="231"/>
      <c r="E104" s="548">
        <f>E100+E102</f>
        <v>0</v>
      </c>
      <c r="F104" s="270"/>
      <c r="G104" s="521" t="str">
        <f>IF(AND(G100="",G102=""),"",IF(AND(G100&lt;&gt;"",G102=""),G100,G102+G100))</f>
        <v/>
      </c>
      <c r="H104" s="281"/>
      <c r="I104" s="549" t="str">
        <f>I100</f>
        <v/>
      </c>
      <c r="J104" s="296"/>
      <c r="K104" s="521" t="str">
        <f>IF(OR(G104="",I104=""),"",G104-I104)</f>
        <v/>
      </c>
    </row>
    <row r="105" spans="1:13" ht="4.5" customHeight="1">
      <c r="A105" s="307"/>
      <c r="B105" s="551"/>
      <c r="C105" s="552"/>
      <c r="D105" s="554"/>
      <c r="E105" s="555"/>
      <c r="F105" s="555"/>
      <c r="G105" s="518"/>
      <c r="H105" s="518"/>
      <c r="I105" s="556"/>
      <c r="J105" s="557"/>
      <c r="K105" s="518"/>
    </row>
    <row r="106" spans="1:13" ht="4.5" customHeight="1">
      <c r="A106" s="307"/>
      <c r="B106" s="542"/>
      <c r="C106" s="543"/>
      <c r="D106" s="308"/>
      <c r="E106" s="309"/>
      <c r="F106" s="309"/>
      <c r="G106" s="310"/>
      <c r="H106" s="310"/>
      <c r="I106" s="311"/>
      <c r="J106" s="312"/>
      <c r="K106" s="310"/>
    </row>
    <row r="107" spans="1:13" ht="16.5" customHeight="1">
      <c r="A107" s="307"/>
      <c r="B107" s="609" t="s">
        <v>206</v>
      </c>
      <c r="C107" s="610"/>
      <c r="D107" s="308"/>
      <c r="E107" s="3"/>
      <c r="F107" s="309"/>
      <c r="G107" s="296" t="str">
        <f>IF(AND($E$10=Lég_Choix!B27,$E$15&gt;0,E107&gt;0),E107/$E$15,IF(AND($E$10=Lég_Choix!B28,$G$17&gt;0,E107&gt;0),E107/$G$17,IF(AND($E$10=Lég_Choix!B29,E107&gt;0),E107/$E$153,"")))</f>
        <v/>
      </c>
      <c r="H107" s="296"/>
      <c r="I107" s="296" t="str">
        <f>IF(E107="","",IF(OR(E8="",E10=""),"",'Coef+Ind'!J30))</f>
        <v/>
      </c>
      <c r="J107" s="306"/>
      <c r="K107" s="296" t="str">
        <f>IF(OR(G107="",I107=""),"",G107-I107)</f>
        <v/>
      </c>
    </row>
    <row r="108" spans="1:13" ht="4.5" customHeight="1">
      <c r="A108" s="307"/>
      <c r="B108" s="394"/>
      <c r="C108" s="395"/>
      <c r="D108" s="394"/>
      <c r="E108" s="313"/>
      <c r="F108" s="313"/>
      <c r="G108" s="296"/>
      <c r="H108" s="296"/>
      <c r="I108" s="296"/>
      <c r="J108" s="306"/>
      <c r="K108" s="296"/>
    </row>
    <row r="109" spans="1:13" ht="16.5" customHeight="1">
      <c r="A109" s="307"/>
      <c r="B109" s="609" t="s">
        <v>178</v>
      </c>
      <c r="C109" s="610"/>
      <c r="D109" s="394"/>
      <c r="E109" s="3"/>
      <c r="F109" s="313"/>
      <c r="G109" s="296" t="str">
        <f>IF(AND($E$10=Lég_Choix!B27,$E$15&gt;0,E109&gt;0),E109/$E$15,IF(AND($E$10=Lég_Choix!B28,$G$17&gt;0,E109&gt;0),E109/$G$17,IF(AND($E$10=Lég_Choix!B29,E109&gt;0),E109/$E$153,"")))</f>
        <v/>
      </c>
      <c r="H109" s="296"/>
      <c r="I109" s="296" t="str">
        <f>IF(E109="","",IF(OR(E8="",E10=""),"",'Coef+Ind'!J35))</f>
        <v/>
      </c>
      <c r="J109" s="306"/>
      <c r="K109" s="296" t="str">
        <f>IF(OR(G109="",I109=""),"",G109-I109)</f>
        <v/>
      </c>
    </row>
    <row r="110" spans="1:13" ht="4.5" customHeight="1">
      <c r="A110" s="307"/>
      <c r="B110" s="314"/>
      <c r="C110" s="315"/>
      <c r="D110" s="394"/>
      <c r="E110" s="313"/>
      <c r="F110" s="313"/>
      <c r="G110" s="296"/>
      <c r="H110" s="296"/>
      <c r="I110" s="296"/>
      <c r="J110" s="306"/>
      <c r="K110" s="296"/>
    </row>
    <row r="111" spans="1:13" ht="16.5" customHeight="1">
      <c r="A111" s="307"/>
      <c r="B111" s="567" t="s">
        <v>181</v>
      </c>
      <c r="C111" s="395"/>
      <c r="D111" s="394"/>
      <c r="E111" s="3"/>
      <c r="F111" s="313"/>
      <c r="G111" s="296" t="str">
        <f>IF(AND($E$10=Lég_Choix!B27,$E$15&gt;0,E111&gt;0),E111/$E$15,IF(AND($E$10=Lég_Choix!B28,$G$17&gt;0,E111&gt;0),E111/$G$17,IF(AND($E$10=Lég_Choix!B29,E111&gt;0),E111/$E$153,"")))</f>
        <v/>
      </c>
      <c r="H111" s="296"/>
      <c r="I111" s="296" t="str">
        <f>IF(E111="","",IF(OR(E8="",E10=""),"",'Coef+Ind'!J47))</f>
        <v/>
      </c>
      <c r="J111" s="306"/>
      <c r="K111" s="296" t="str">
        <f>IF(OR(G111="",I111=""),"",G111-I111)</f>
        <v/>
      </c>
    </row>
    <row r="112" spans="1:13" ht="4.5" customHeight="1">
      <c r="A112" s="307"/>
      <c r="B112" s="394"/>
      <c r="C112" s="395"/>
      <c r="D112" s="394"/>
      <c r="E112" s="313"/>
      <c r="F112" s="313"/>
      <c r="G112" s="296"/>
      <c r="H112" s="296"/>
      <c r="I112" s="296"/>
      <c r="J112" s="306"/>
      <c r="K112" s="296"/>
    </row>
    <row r="113" spans="1:11" ht="16.5" customHeight="1">
      <c r="A113" s="307"/>
      <c r="B113" s="567" t="s">
        <v>182</v>
      </c>
      <c r="C113" s="395"/>
      <c r="D113" s="394"/>
      <c r="E113" s="3"/>
      <c r="F113" s="313"/>
      <c r="G113" s="296" t="str">
        <f>IF(AND($E$10=Lég_Choix!B27,$E$15&gt;0,E113&gt;0),E113/$E$15,IF(AND($E$10=Lég_Choix!B28,$G$17&gt;0,E113&gt;0),E113/$G$17,IF(AND($E$10=Lég_Choix!B29,E113&gt;0),E113/$E$153,"")))</f>
        <v/>
      </c>
      <c r="H113" s="296"/>
      <c r="I113" s="296" t="str">
        <f>IF(E113="","",IF(OR(E8="",E10=""),"",'Coef+Ind'!J57))</f>
        <v/>
      </c>
      <c r="J113" s="306"/>
      <c r="K113" s="296" t="str">
        <f>IF(OR(G113="",I113=""),"",G113-I113)</f>
        <v/>
      </c>
    </row>
    <row r="114" spans="1:11" ht="4.5" customHeight="1">
      <c r="A114" s="307"/>
      <c r="B114" s="394"/>
      <c r="C114" s="395"/>
      <c r="D114" s="394"/>
      <c r="E114" s="313"/>
      <c r="F114" s="313"/>
      <c r="G114" s="296"/>
      <c r="H114" s="296"/>
      <c r="I114" s="296"/>
      <c r="J114" s="306"/>
      <c r="K114" s="296"/>
    </row>
    <row r="115" spans="1:11" ht="16.5" customHeight="1">
      <c r="A115" s="307"/>
      <c r="B115" s="409" t="s">
        <v>17</v>
      </c>
      <c r="C115" s="395"/>
      <c r="D115" s="394"/>
      <c r="E115" s="3"/>
      <c r="F115" s="313"/>
      <c r="G115" s="296" t="str">
        <f>IF(AND($E$10=Lég_Choix!B27,$E$15&gt;0,E115&gt;0),E115/$E$15,IF(AND($E$10=Lég_Choix!B28,$G$17&gt;0,E115&gt;0),E115/$G$17,IF(AND($E$10=Lég_Choix!B29,E115&gt;0),E115/$E$153,"")))</f>
        <v/>
      </c>
      <c r="H115" s="296"/>
      <c r="I115" s="296" t="str">
        <f>IF(E115="","",IF(OR(E8="",E10=""),"",'Coef+Ind'!J63))</f>
        <v/>
      </c>
      <c r="J115" s="306"/>
      <c r="K115" s="296" t="str">
        <f>IF(OR(G115="",I115=""),"",G115-I115)</f>
        <v/>
      </c>
    </row>
    <row r="116" spans="1:11" ht="4.5" customHeight="1">
      <c r="A116" s="307"/>
      <c r="B116" s="308"/>
      <c r="C116" s="316"/>
      <c r="D116" s="394"/>
      <c r="E116" s="313"/>
      <c r="F116" s="313"/>
      <c r="G116" s="296"/>
      <c r="H116" s="296"/>
      <c r="I116" s="296"/>
      <c r="J116" s="306"/>
      <c r="K116" s="296"/>
    </row>
    <row r="117" spans="1:11" ht="16.5" customHeight="1">
      <c r="A117" s="307"/>
      <c r="B117" s="409" t="s">
        <v>16</v>
      </c>
      <c r="C117" s="395"/>
      <c r="D117" s="394"/>
      <c r="E117" s="3"/>
      <c r="F117" s="313"/>
      <c r="G117" s="296" t="str">
        <f>IF(AND($E$10=Lég_Choix!B27,$E$15&gt;0,E117&gt;0),E117/$E$15,IF(AND($E$10=Lég_Choix!B28,$G$17&gt;0,E117&gt;0),E117/$G$17,IF(AND($E$10=Lég_Choix!B29,E117&gt;0),E117/$E$153,"")))</f>
        <v/>
      </c>
      <c r="H117" s="296"/>
      <c r="I117" s="296" t="str">
        <f>IF(E117="","",IF(OR(E8="",E10=""),"",'Coef+Ind'!J67))</f>
        <v/>
      </c>
      <c r="J117" s="306"/>
      <c r="K117" s="296" t="str">
        <f>IF(OR(G117="",I117=""),"",G117-I117)</f>
        <v/>
      </c>
    </row>
    <row r="118" spans="1:11" ht="4.5" customHeight="1">
      <c r="A118" s="307"/>
      <c r="B118" s="308"/>
      <c r="C118" s="316"/>
      <c r="D118" s="394"/>
      <c r="E118" s="313"/>
      <c r="F118" s="313"/>
      <c r="G118" s="296"/>
      <c r="H118" s="296"/>
      <c r="I118" s="296"/>
      <c r="J118" s="306"/>
      <c r="K118" s="296"/>
    </row>
    <row r="119" spans="1:11" ht="16.5" customHeight="1">
      <c r="A119" s="307"/>
      <c r="B119" s="572" t="s">
        <v>298</v>
      </c>
      <c r="C119" s="295"/>
      <c r="D119" s="394"/>
      <c r="E119" s="3"/>
      <c r="F119" s="313"/>
      <c r="G119" s="296" t="str">
        <f>IF(AND($E$10=Lég_Choix!B27,$E$15&gt;0,E119&gt;0),E119/$E$15,IF(AND($E$10=Lég_Choix!B28,$G$17&gt;0,E119&gt;0),E119/$G$17,IF(AND($E$10=Lég_Choix!B29,E119&gt;0),E119/$E$153,"")))</f>
        <v/>
      </c>
      <c r="H119" s="296"/>
      <c r="I119" s="296" t="str">
        <f>IF(E119="","",IF(OR(E8="",E10=""),"",'Coef+Ind'!J73))</f>
        <v/>
      </c>
      <c r="J119" s="306"/>
      <c r="K119" s="296" t="str">
        <f>IF(OR(G119="",I119=""),"",G119-I119)</f>
        <v/>
      </c>
    </row>
    <row r="120" spans="1:11" ht="4.5" customHeight="1">
      <c r="A120" s="307"/>
      <c r="B120" s="231"/>
      <c r="C120" s="295"/>
      <c r="D120" s="314"/>
      <c r="E120" s="317"/>
      <c r="F120" s="317"/>
      <c r="G120" s="296"/>
      <c r="H120" s="296"/>
      <c r="I120" s="296"/>
      <c r="J120" s="306"/>
      <c r="K120" s="296"/>
    </row>
    <row r="121" spans="1:11" ht="16.5" customHeight="1">
      <c r="A121" s="307"/>
      <c r="B121" s="231" t="s">
        <v>19</v>
      </c>
      <c r="C121" s="295"/>
      <c r="D121" s="394"/>
      <c r="E121" s="3"/>
      <c r="F121" s="313"/>
      <c r="G121" s="296" t="str">
        <f>IF(AND($E$10=Lég_Choix!B27,$E$15&gt;0,E121&gt;0),E121/$E$15,IF(AND($E$10=Lég_Choix!B28,$G$17&gt;0,E121&gt;0),E121/$G$17,IF(AND($E$10=Lég_Choix!B29,E121&gt;0),E121/$E$153,"")))</f>
        <v/>
      </c>
      <c r="H121" s="296"/>
      <c r="I121" s="296" t="str">
        <f>IF(E121="","",IF(OR(E8="",E10=""),"",'Coef+Ind'!J81))</f>
        <v/>
      </c>
      <c r="J121" s="306"/>
      <c r="K121" s="296" t="str">
        <f>IF(OR(G121="",I121=""),"",G121-I121)</f>
        <v/>
      </c>
    </row>
    <row r="122" spans="1:11" ht="4.5" customHeight="1">
      <c r="A122" s="307"/>
      <c r="B122" s="231"/>
      <c r="C122" s="295"/>
      <c r="D122" s="394"/>
      <c r="E122" s="313"/>
      <c r="F122" s="313"/>
      <c r="G122" s="296"/>
      <c r="H122" s="296"/>
      <c r="I122" s="296"/>
      <c r="J122" s="306"/>
      <c r="K122" s="296"/>
    </row>
    <row r="123" spans="1:11" ht="16.5" customHeight="1">
      <c r="A123" s="307"/>
      <c r="B123" s="231" t="s">
        <v>20</v>
      </c>
      <c r="C123" s="295"/>
      <c r="D123" s="394"/>
      <c r="E123" s="3"/>
      <c r="F123" s="313"/>
      <c r="G123" s="296" t="str">
        <f>IF(AND($E$10=Lég_Choix!B27,$E$15&gt;0,E123&gt;0),E123/$E$15,IF(AND($E$10=Lég_Choix!B28,$G$17&gt;0,E123&gt;0),E123/$G$17,IF(AND($E$10=Lég_Choix!B29,E123&gt;0),E123/$E$153,"")))</f>
        <v/>
      </c>
      <c r="H123" s="296"/>
      <c r="I123" s="296" t="str">
        <f>IF(E123="","",IF(OR(E8="",E10=""),"",'Coef+Ind'!J87))</f>
        <v/>
      </c>
      <c r="J123" s="306"/>
      <c r="K123" s="296" t="str">
        <f>IF(OR(G123="",I123=""),"",G123-I123)</f>
        <v/>
      </c>
    </row>
    <row r="124" spans="1:11" ht="4.5" customHeight="1">
      <c r="A124" s="307"/>
      <c r="B124" s="231"/>
      <c r="C124" s="295"/>
      <c r="D124" s="394"/>
      <c r="E124" s="313"/>
      <c r="F124" s="313"/>
      <c r="G124" s="296"/>
      <c r="H124" s="296"/>
      <c r="I124" s="296"/>
      <c r="J124" s="306"/>
      <c r="K124" s="296"/>
    </row>
    <row r="125" spans="1:11" ht="16.5" customHeight="1">
      <c r="A125" s="307"/>
      <c r="B125" s="231" t="s">
        <v>22</v>
      </c>
      <c r="C125" s="295"/>
      <c r="D125" s="394"/>
      <c r="E125" s="3"/>
      <c r="F125" s="313"/>
      <c r="G125" s="296" t="str">
        <f>IF(AND($E$10=Lég_Choix!B27,$E$15&gt;0,E125&gt;0),E125/$E$15,IF(AND($E$10=Lég_Choix!B28,$G$17&gt;0,E125&gt;0),E125/$G$17,IF(AND($E$10=Lég_Choix!B29,E125&gt;0),E125/$E$153,"")))</f>
        <v/>
      </c>
      <c r="H125" s="296"/>
      <c r="I125" s="296" t="str">
        <f>IF(E125="","",IF(OR(E8="",E10=""),"",'Coef+Ind'!J91))</f>
        <v/>
      </c>
      <c r="J125" s="306"/>
      <c r="K125" s="296" t="str">
        <f>IF(OR(G125="",I125=""),"",G125-I125)</f>
        <v/>
      </c>
    </row>
    <row r="126" spans="1:11" ht="4.5" customHeight="1">
      <c r="A126" s="307"/>
      <c r="B126" s="231"/>
      <c r="C126" s="295"/>
      <c r="D126" s="308"/>
      <c r="E126" s="309"/>
      <c r="F126" s="309"/>
      <c r="G126" s="296"/>
      <c r="H126" s="296"/>
      <c r="I126" s="296"/>
      <c r="J126" s="306"/>
      <c r="K126" s="296"/>
    </row>
    <row r="127" spans="1:11" ht="16.5" customHeight="1">
      <c r="B127" s="231" t="s">
        <v>23</v>
      </c>
      <c r="C127" s="295"/>
      <c r="D127" s="228"/>
      <c r="E127" s="3"/>
      <c r="F127" s="281"/>
      <c r="G127" s="296" t="str">
        <f>IF(AND($E$10=Lég_Choix!B27,$E$15&gt;0,E127&gt;0),E127/$E$15,IF(AND($E$10=Lég_Choix!B28,$G$17&gt;0,E127&gt;0),E127/$G$17,IF(AND($E$10=Lég_Choix!B29,E127&gt;0),E127/$E$153,"")))</f>
        <v/>
      </c>
      <c r="H127" s="296"/>
      <c r="I127" s="296" t="str">
        <f>IF(E127="","",IF(OR(E8="",E10=""),"",'Coef+Ind'!J102))</f>
        <v/>
      </c>
      <c r="J127" s="306"/>
      <c r="K127" s="296" t="str">
        <f>IF(OR(G127="",I127=""),"",G127-I127)</f>
        <v/>
      </c>
    </row>
    <row r="128" spans="1:11" ht="4.5" customHeight="1">
      <c r="B128" s="231"/>
      <c r="C128" s="295"/>
      <c r="D128" s="228"/>
      <c r="E128" s="281"/>
      <c r="F128" s="281"/>
      <c r="G128" s="296"/>
      <c r="H128" s="296"/>
      <c r="I128" s="296"/>
      <c r="J128" s="306"/>
      <c r="K128" s="296"/>
    </row>
    <row r="129" spans="2:12" ht="16.5" customHeight="1">
      <c r="B129" s="231" t="s">
        <v>24</v>
      </c>
      <c r="C129" s="295"/>
      <c r="D129" s="228"/>
      <c r="E129" s="3"/>
      <c r="F129" s="281"/>
      <c r="G129" s="296" t="str">
        <f>IF(AND($E$10=Lég_Choix!B27,$E$15&gt;0,E129&gt;0),E129/$E$15,IF(AND($E$10=Lég_Choix!B28,$G$17&gt;0,E129&gt;0),E129/$G$17,IF(AND($E$10=Lég_Choix!B29,E129&gt;0),E129/$E$153,"")))</f>
        <v/>
      </c>
      <c r="H129" s="318"/>
      <c r="I129" s="296" t="str">
        <f>IF(E129="","",IF(OR(E8="",E10=""),"",'Coef+Ind'!J107))</f>
        <v/>
      </c>
      <c r="J129" s="319"/>
      <c r="K129" s="296" t="str">
        <f>IF(OR(G129="",I129=""),"",G129-I129)</f>
        <v/>
      </c>
    </row>
    <row r="130" spans="2:12" ht="4.5" customHeight="1">
      <c r="B130" s="231"/>
      <c r="C130" s="295"/>
      <c r="D130" s="228"/>
      <c r="E130" s="281"/>
      <c r="F130" s="281"/>
      <c r="G130" s="296"/>
      <c r="H130" s="296"/>
      <c r="I130" s="296"/>
      <c r="J130" s="306"/>
      <c r="K130" s="296"/>
    </row>
    <row r="131" spans="2:12">
      <c r="B131" s="251" t="s">
        <v>25</v>
      </c>
      <c r="C131" s="302"/>
      <c r="D131" s="302"/>
      <c r="E131" s="273">
        <f>SUM(E97:E129)-E104</f>
        <v>0</v>
      </c>
      <c r="F131" s="274"/>
      <c r="G131" s="303" t="str">
        <f>IF(AND(G97="",G100="",G107="",G109="",G111="",G113="",G115="",G117="",G119="",G121="",G123="",G125="",G127="",G129=""),"",IF(E10="","",IF(E131&lt;&gt;0,E131/IF($E$10=Lég_Choix!B27,$E$15,IF($E$10=Lég_Choix!B28,$G$17,IF($E$10=Lég_Choix!B29,$E$153,""))),"")))</f>
        <v/>
      </c>
      <c r="H131" s="304"/>
      <c r="I131" s="303" t="str">
        <f>IF(E131=0,"",IF(OR(E8="",E10=""),"",SUM(I97:I129)))</f>
        <v/>
      </c>
      <c r="J131" s="320"/>
      <c r="K131" s="303" t="str">
        <f>IF(OR(G131="",I131=""),"",G131-I131)</f>
        <v/>
      </c>
      <c r="L131" s="229"/>
    </row>
    <row r="132" spans="2:12" ht="4.5" customHeight="1">
      <c r="B132" s="231"/>
      <c r="C132" s="231"/>
      <c r="D132" s="231"/>
      <c r="E132" s="270"/>
      <c r="F132" s="270"/>
      <c r="G132" s="296"/>
      <c r="H132" s="296"/>
      <c r="I132" s="296"/>
      <c r="J132" s="306"/>
      <c r="K132" s="296"/>
    </row>
    <row r="133" spans="2:12" ht="15" customHeight="1">
      <c r="B133" s="4" t="s">
        <v>26</v>
      </c>
      <c r="C133" s="5"/>
      <c r="D133" s="252"/>
      <c r="E133" s="7"/>
      <c r="F133" s="7"/>
      <c r="G133" s="8"/>
      <c r="H133" s="8"/>
      <c r="I133" s="8"/>
      <c r="J133" s="7"/>
      <c r="K133" s="8"/>
      <c r="L133" s="229"/>
    </row>
    <row r="134" spans="2:12" ht="4.5" customHeight="1">
      <c r="B134" s="231"/>
      <c r="C134" s="295"/>
      <c r="D134" s="228"/>
      <c r="E134" s="281"/>
      <c r="F134" s="281"/>
      <c r="G134" s="321"/>
      <c r="H134" s="321"/>
      <c r="I134" s="322"/>
      <c r="J134" s="312"/>
      <c r="K134" s="321"/>
    </row>
    <row r="135" spans="2:12" ht="16.5" customHeight="1">
      <c r="B135" s="231" t="s">
        <v>200</v>
      </c>
      <c r="C135" s="295"/>
      <c r="D135" s="228"/>
      <c r="E135" s="3"/>
      <c r="F135" s="281"/>
      <c r="G135" s="296" t="str">
        <f>IF(AND($E$10=Lég_Choix!B27,$E$15&gt;0,E135&gt;0),E135/$E$15,IF(AND($E$10=Lég_Choix!B28,$G$17&gt;0,E135&gt;0),E135/$G$17,IF(AND($E$10=Lég_Choix!B29,E135&gt;0),E135/$E$153,"")))</f>
        <v/>
      </c>
      <c r="H135" s="321"/>
      <c r="I135" s="296" t="str">
        <f>IF(E135="","",IF(OR(E8="",E10=""),"",'Coef+Ind'!J112))</f>
        <v/>
      </c>
      <c r="J135" s="323"/>
      <c r="K135" s="296" t="str">
        <f>IF(OR(G135="",I135=""),"",G135-I135)</f>
        <v/>
      </c>
    </row>
    <row r="136" spans="2:12" ht="4.5" customHeight="1">
      <c r="B136" s="231"/>
      <c r="C136" s="295"/>
      <c r="D136" s="228"/>
      <c r="E136" s="281"/>
      <c r="F136" s="281"/>
      <c r="G136" s="321"/>
      <c r="H136" s="321"/>
      <c r="I136" s="324"/>
      <c r="J136" s="323"/>
      <c r="K136" s="321"/>
    </row>
    <row r="137" spans="2:12" ht="16.5" customHeight="1">
      <c r="B137" s="231" t="s">
        <v>27</v>
      </c>
      <c r="C137" s="295"/>
      <c r="D137" s="228"/>
      <c r="E137" s="3"/>
      <c r="F137" s="281"/>
      <c r="G137" s="296" t="str">
        <f>IF(AND($E$10=Lég_Choix!B27,$E$15&gt;0,E137&gt;0),E137/$E$15,IF(AND($E$10=Lég_Choix!B28,$G$17&gt;0,E137&gt;0),E137/$G$17,IF(AND($E$10=Lég_Choix!B29,E137&gt;0),E137/$E$153,"")))</f>
        <v/>
      </c>
      <c r="H137" s="321"/>
      <c r="I137" s="296" t="str">
        <f>IF(E137="","",IF(OR(E8="",E10=""),"",'Coef+Ind'!J118))</f>
        <v/>
      </c>
      <c r="J137" s="269"/>
      <c r="K137" s="296" t="str">
        <f>IF(OR(G137="",I137=""),"",G137-I137)</f>
        <v/>
      </c>
    </row>
    <row r="138" spans="2:12" ht="4.5" customHeight="1">
      <c r="B138" s="231"/>
      <c r="C138" s="295"/>
      <c r="D138" s="228"/>
      <c r="E138" s="281"/>
      <c r="F138" s="281"/>
      <c r="G138" s="296"/>
      <c r="H138" s="321"/>
      <c r="I138" s="318"/>
      <c r="J138" s="269"/>
      <c r="K138" s="321"/>
    </row>
    <row r="139" spans="2:12" ht="16.5" customHeight="1">
      <c r="B139" s="231" t="s">
        <v>28</v>
      </c>
      <c r="C139" s="295"/>
      <c r="D139" s="228"/>
      <c r="E139" s="3"/>
      <c r="F139" s="281"/>
      <c r="G139" s="296" t="str">
        <f>IF(AND($E$10=Lég_Choix!B27,$E$15&gt;0,E139&gt;0),E139/$E$15,IF(AND($E$10=Lég_Choix!B28,$G$17&gt;0,E139&gt;0),E139/$G$17,IF(AND($E$10=Lég_Choix!B29,E139&gt;0),E139/$E$153,"")))</f>
        <v/>
      </c>
      <c r="H139" s="321"/>
      <c r="I139" s="296" t="str">
        <f>IF(E139="","",IF(OR(E8="",E10=""),"",'Coef+Ind'!J123))</f>
        <v/>
      </c>
      <c r="J139" s="269"/>
      <c r="K139" s="296" t="str">
        <f>IF(OR(G139="",I139=""),"",G139-I139)</f>
        <v/>
      </c>
    </row>
    <row r="140" spans="2:12" ht="4.5" customHeight="1">
      <c r="B140" s="231"/>
      <c r="C140" s="295"/>
      <c r="D140" s="228"/>
      <c r="E140" s="281"/>
      <c r="F140" s="281"/>
      <c r="G140" s="296"/>
      <c r="H140" s="321"/>
      <c r="I140" s="318"/>
      <c r="J140" s="269"/>
      <c r="K140" s="321"/>
    </row>
    <row r="141" spans="2:12" ht="16.5" customHeight="1">
      <c r="B141" s="231" t="s">
        <v>29</v>
      </c>
      <c r="C141" s="295"/>
      <c r="D141" s="228"/>
      <c r="E141" s="3"/>
      <c r="F141" s="281"/>
      <c r="G141" s="296" t="str">
        <f>IF(AND($E$10=Lég_Choix!B27,$E$15&gt;0,E141&gt;0),E141/$E$15,IF(AND($E$10=Lég_Choix!B28,$G$17&gt;0,E141&gt;0),E141/$G$17,IF(AND($E$10=Lég_Choix!B29,E141&gt;0),E141/$E$153,"")))</f>
        <v/>
      </c>
      <c r="H141" s="321"/>
      <c r="I141" s="296" t="str">
        <f>IF(E141="","",IF(OR(E8="",E10=""),"",'Coef+Ind'!J128))</f>
        <v/>
      </c>
      <c r="J141" s="269"/>
      <c r="K141" s="296" t="str">
        <f>IF(OR(G141="",I141=""),"",G141-I141)</f>
        <v/>
      </c>
    </row>
    <row r="142" spans="2:12" ht="4.5" customHeight="1">
      <c r="B142" s="231"/>
      <c r="C142" s="295"/>
      <c r="D142" s="228"/>
      <c r="E142" s="281"/>
      <c r="F142" s="281"/>
      <c r="G142" s="321"/>
      <c r="H142" s="321"/>
      <c r="I142" s="318"/>
      <c r="J142" s="269"/>
      <c r="K142" s="321"/>
    </row>
    <row r="143" spans="2:12" ht="16.5" customHeight="1">
      <c r="B143" s="231" t="s">
        <v>30</v>
      </c>
      <c r="C143" s="295"/>
      <c r="D143" s="228"/>
      <c r="E143" s="3"/>
      <c r="F143" s="281"/>
      <c r="G143" s="296" t="str">
        <f>IF(AND($E$10=Lég_Choix!B27,$E$15&gt;0,E143&gt;0),E143/$E$15,IF(AND($E$10=Lég_Choix!B28,$G$17&gt;0,E143&gt;0),E143/$G$17,IF(AND($E$10=Lég_Choix!B29,E143&gt;0),E143/$E$153,"")))</f>
        <v/>
      </c>
      <c r="H143" s="321"/>
      <c r="I143" s="296" t="str">
        <f>IF(E143="","",IF(OR(E8="",E10=""),"",'Coef+Ind'!J138))</f>
        <v/>
      </c>
      <c r="J143" s="325"/>
      <c r="K143" s="296" t="str">
        <f>IF(OR(G143="",I143=""),"",G143-I143)</f>
        <v/>
      </c>
    </row>
    <row r="144" spans="2:12" ht="4.5" customHeight="1">
      <c r="B144" s="249"/>
      <c r="C144" s="299"/>
      <c r="D144" s="234"/>
      <c r="E144" s="300"/>
      <c r="F144" s="300"/>
      <c r="G144" s="326"/>
      <c r="H144" s="326"/>
      <c r="I144" s="327"/>
      <c r="J144" s="283"/>
      <c r="K144" s="326"/>
      <c r="L144" s="229"/>
    </row>
    <row r="145" spans="2:13">
      <c r="B145" s="251" t="s">
        <v>31</v>
      </c>
      <c r="C145" s="302"/>
      <c r="D145" s="302"/>
      <c r="E145" s="273">
        <f>SUM(E135:E143)</f>
        <v>0</v>
      </c>
      <c r="F145" s="274"/>
      <c r="G145" s="303" t="str">
        <f>IF(AND(G135="",G137="",G139="",G141="",G143=""),"",IF(E10="","",IF(E145&lt;&gt;0,E145/IF($E$10=Lég_Choix!B27,$E$15,IF($E$10=Lég_Choix!B28,$G$17,IF($E$10=Lég_Choix!B29,$E$153,""))),"")))</f>
        <v/>
      </c>
      <c r="H145" s="304"/>
      <c r="I145" s="303" t="str">
        <f>IF(E145=0,"",IF(OR(E8="",E10=""),"",SUM(I135:I143)))</f>
        <v/>
      </c>
      <c r="J145" s="320"/>
      <c r="K145" s="303" t="str">
        <f>IF(OR(G145="",I145=""),"",G145-I145)</f>
        <v/>
      </c>
      <c r="L145" s="229"/>
    </row>
    <row r="146" spans="2:13" ht="4.5" customHeight="1">
      <c r="B146" s="6"/>
      <c r="C146" s="9"/>
      <c r="D146" s="231"/>
      <c r="E146" s="10"/>
      <c r="F146" s="11"/>
      <c r="G146" s="12"/>
      <c r="H146" s="13"/>
      <c r="I146" s="12"/>
      <c r="J146" s="14"/>
      <c r="K146" s="12"/>
      <c r="L146" s="229"/>
    </row>
    <row r="147" spans="2:13" ht="4.5" customHeight="1">
      <c r="B147" s="231"/>
      <c r="C147" s="295"/>
      <c r="D147" s="228"/>
      <c r="E147" s="281"/>
      <c r="F147" s="281"/>
      <c r="G147" s="321"/>
      <c r="H147" s="321"/>
      <c r="I147" s="310"/>
      <c r="J147" s="269"/>
      <c r="K147" s="321"/>
    </row>
    <row r="148" spans="2:13" ht="16.5" customHeight="1">
      <c r="B148" s="231" t="s">
        <v>32</v>
      </c>
      <c r="C148" s="295"/>
      <c r="D148" s="228"/>
      <c r="E148" s="3"/>
      <c r="F148" s="281"/>
      <c r="G148" s="296" t="str">
        <f>IF(AND($E$10=Lég_Choix!B27,$E$15&gt;0,E148&gt;0),E148/$E$15,IF(AND($E$10=Lég_Choix!B28,$G$17&gt;0,E148&gt;0),E148/$G$17,IF(AND($E$10=Lég_Choix!B29,E148&gt;0),E148/$E$153,"")))</f>
        <v/>
      </c>
      <c r="H148" s="321"/>
      <c r="I148" s="296" t="str">
        <f>IF(E148="","",IF(OR(E8="",E10=""),"",'Coef+Ind'!J145))</f>
        <v/>
      </c>
      <c r="J148" s="325"/>
      <c r="K148" s="296" t="str">
        <f>IF(OR(G148="",I148=""),"",G148-I148)</f>
        <v/>
      </c>
    </row>
    <row r="149" spans="2:13" ht="4.5" customHeight="1">
      <c r="B149" s="231"/>
      <c r="C149" s="295"/>
      <c r="D149" s="228"/>
      <c r="E149" s="281"/>
      <c r="F149" s="281"/>
      <c r="G149" s="296"/>
      <c r="H149" s="296"/>
      <c r="I149" s="298"/>
      <c r="J149" s="298"/>
      <c r="K149" s="296"/>
      <c r="L149" s="247"/>
      <c r="M149" s="247"/>
    </row>
    <row r="150" spans="2:13" ht="16.5" customHeight="1">
      <c r="B150" s="231" t="s">
        <v>33</v>
      </c>
      <c r="C150" s="295"/>
      <c r="D150" s="231"/>
      <c r="E150" s="3"/>
      <c r="F150" s="270"/>
      <c r="G150" s="296" t="str">
        <f>IF(AND($E$10=Lég_Choix!B27,$E$15&gt;0,E150&gt;0),E150/$E$15,IF(AND($E$10=Lég_Choix!B28,$G$17&gt;0,E150&gt;0),E150/$G$17,IF(AND($E$10=Lég_Choix!B29,E150&gt;0),E150/$E$153,"")))</f>
        <v/>
      </c>
      <c r="H150" s="281"/>
      <c r="I150" s="412" t="s">
        <v>34</v>
      </c>
      <c r="J150" s="281"/>
      <c r="K150" s="296"/>
    </row>
    <row r="151" spans="2:13" ht="16.5" customHeight="1">
      <c r="B151" s="234"/>
      <c r="C151" s="328"/>
      <c r="D151" s="231"/>
      <c r="E151" s="300"/>
      <c r="F151" s="300"/>
      <c r="G151" s="329"/>
      <c r="H151" s="300"/>
      <c r="I151" s="329"/>
      <c r="J151" s="300"/>
      <c r="K151" s="329"/>
    </row>
    <row r="152" spans="2:13" ht="4.5" customHeight="1">
      <c r="B152" s="231"/>
      <c r="C152" s="295"/>
      <c r="D152" s="228"/>
      <c r="E152" s="281"/>
      <c r="F152" s="281"/>
      <c r="G152" s="321"/>
      <c r="H152" s="321"/>
      <c r="I152" s="318"/>
      <c r="J152" s="269"/>
      <c r="K152" s="321"/>
    </row>
    <row r="153" spans="2:13" ht="16.5" customHeight="1">
      <c r="B153" s="251" t="s">
        <v>35</v>
      </c>
      <c r="C153" s="330"/>
      <c r="D153" s="331"/>
      <c r="E153" s="332">
        <f>E131+E145+E148+E150</f>
        <v>0</v>
      </c>
      <c r="F153" s="332"/>
      <c r="G153" s="333" t="str">
        <f>IF(OR(E153=0,E10=""),"",IF(AND($E$10&lt;&gt;Lég_Choix!B29,E153&lt;&gt;0),E153/IF($E$10=Lég_Choix!B27,$E$15,IF($E$10=Lég_Choix!B28,$G$17,"")),IF(E10=Lég_Choix!B29,G131+G145+G148+G150,"")))</f>
        <v/>
      </c>
      <c r="H153" s="332"/>
      <c r="I153" s="334" t="str">
        <f>IF(OR(E153=0,E8="",E10="",I131="",I145="",I148=""),"",I131+I145+I148)</f>
        <v/>
      </c>
      <c r="J153" s="335"/>
      <c r="K153" s="303" t="str">
        <f>IF(OR(E8="",E10="",I153=""),"",IF(OR($E$10=Lég_Choix!B29,G153=""),"",G153-I153))</f>
        <v/>
      </c>
    </row>
    <row r="154" spans="2:13" ht="4.5" customHeight="1">
      <c r="B154" s="302"/>
      <c r="C154" s="302"/>
      <c r="D154" s="302"/>
      <c r="E154" s="274"/>
      <c r="F154" s="274"/>
      <c r="G154" s="336"/>
      <c r="H154" s="336"/>
      <c r="I154" s="337"/>
      <c r="J154" s="325"/>
      <c r="K154" s="336"/>
    </row>
    <row r="155" spans="2:13" ht="23.25" customHeight="1">
      <c r="B155" s="4" t="s">
        <v>36</v>
      </c>
      <c r="C155" s="4"/>
      <c r="D155" s="217"/>
      <c r="E155" s="218">
        <f>E93-E153</f>
        <v>0</v>
      </c>
      <c r="F155" s="219"/>
      <c r="G155" s="218" t="str">
        <f>IF(OR(G153="",G93=""),"",IF(AND(E10&lt;&gt;Lég_Choix!B29,G153&lt;&gt;""),G93-G153,""))</f>
        <v/>
      </c>
      <c r="H155" s="220"/>
      <c r="I155" s="223" t="str">
        <f>IF(OR(E155=0,G155="",I93=0,E8="",E10="",I153=""),"",IF(E10=Lég_Choix!B29,"",I93-I153))</f>
        <v/>
      </c>
      <c r="J155" s="220"/>
      <c r="K155" s="220" t="str">
        <f>IF(OR(E8="",E10="",I155=""),"",IF(G155="","",G155-I155))</f>
        <v/>
      </c>
    </row>
    <row r="156" spans="2:13" ht="4.5" customHeight="1">
      <c r="B156" s="231"/>
      <c r="C156" s="231"/>
      <c r="D156" s="231"/>
      <c r="E156" s="231"/>
      <c r="F156" s="231"/>
      <c r="G156" s="228"/>
      <c r="H156" s="228"/>
      <c r="I156" s="228"/>
      <c r="J156" s="228"/>
      <c r="K156" s="228"/>
    </row>
    <row r="157" spans="2:13" ht="4.5" customHeight="1">
      <c r="B157" s="231"/>
      <c r="C157" s="231"/>
      <c r="D157" s="231"/>
      <c r="E157" s="231"/>
      <c r="F157" s="231"/>
      <c r="G157" s="338"/>
      <c r="H157" s="338"/>
      <c r="I157" s="338"/>
      <c r="J157" s="338"/>
      <c r="K157" s="338"/>
    </row>
    <row r="158" spans="2:13" ht="16.5" customHeight="1">
      <c r="B158" s="231" t="s">
        <v>228</v>
      </c>
      <c r="C158" s="231"/>
      <c r="D158" s="231"/>
      <c r="E158" s="231"/>
      <c r="F158" s="231"/>
      <c r="G158" s="338"/>
      <c r="H158" s="338"/>
      <c r="I158" s="338"/>
      <c r="J158" s="338"/>
      <c r="K158" s="338"/>
    </row>
    <row r="159" spans="2:13">
      <c r="B159" s="339"/>
      <c r="C159" s="339"/>
      <c r="D159" s="228"/>
      <c r="E159" s="228"/>
      <c r="F159" s="228"/>
      <c r="G159" s="228"/>
      <c r="H159" s="228"/>
      <c r="I159" s="228"/>
      <c r="J159" s="228"/>
      <c r="K159" s="228"/>
    </row>
    <row r="160" spans="2:13">
      <c r="B160" s="340"/>
      <c r="C160" s="340"/>
    </row>
  </sheetData>
  <sheetProtection insertColumns="0" insertRows="0" deleteColumns="0" deleteRows="0" sort="0" autoFilter="0" pivotTables="0"/>
  <dataConsolidate/>
  <mergeCells count="19">
    <mergeCell ref="I33:K33"/>
    <mergeCell ref="K43:K45"/>
    <mergeCell ref="B69:K69"/>
    <mergeCell ref="B1:K1"/>
    <mergeCell ref="B4:K4"/>
    <mergeCell ref="I6:K10"/>
    <mergeCell ref="E8:G8"/>
    <mergeCell ref="E10:G10"/>
    <mergeCell ref="E12:E13"/>
    <mergeCell ref="I12:I13"/>
    <mergeCell ref="K12:K13"/>
    <mergeCell ref="B109:C109"/>
    <mergeCell ref="I43:I45"/>
    <mergeCell ref="E70:G70"/>
    <mergeCell ref="B96:C96"/>
    <mergeCell ref="B97:C97"/>
    <mergeCell ref="B100:C100"/>
    <mergeCell ref="B107:C107"/>
    <mergeCell ref="E43:G44"/>
  </mergeCells>
  <conditionalFormatting sqref="H63:K63 G88:H88 J88:K88 G151:K153 G150:H150 G76:H76 G81:K87 J76:K76 G91:K100 J150:K150 G105:K149 G46:K62">
    <cfRule type="expression" dxfId="13" priority="56">
      <formula>$E$10="%"</formula>
    </cfRule>
  </conditionalFormatting>
  <conditionalFormatting sqref="G63">
    <cfRule type="expression" dxfId="12" priority="15">
      <formula>$E$10="%"</formula>
    </cfRule>
  </conditionalFormatting>
  <conditionalFormatting sqref="H78 J78:K78 G77:K77">
    <cfRule type="expression" dxfId="11" priority="10">
      <formula>$E$10="%"</formula>
    </cfRule>
  </conditionalFormatting>
  <conditionalFormatting sqref="G80:J80 G79:K79">
    <cfRule type="expression" dxfId="10" priority="9">
      <formula>$E$10="%"</formula>
    </cfRule>
  </conditionalFormatting>
  <conditionalFormatting sqref="K80">
    <cfRule type="expression" dxfId="9" priority="8">
      <formula>$E$10="%"</formula>
    </cfRule>
  </conditionalFormatting>
  <conditionalFormatting sqref="G78">
    <cfRule type="expression" dxfId="8" priority="7">
      <formula>$E$10="%"</formula>
    </cfRule>
  </conditionalFormatting>
  <conditionalFormatting sqref="I76">
    <cfRule type="expression" dxfId="7" priority="6">
      <formula>$E$10="%"</formula>
    </cfRule>
  </conditionalFormatting>
  <conditionalFormatting sqref="G90:J90 G89:K89">
    <cfRule type="expression" dxfId="6" priority="5">
      <formula>$E$10="%"</formula>
    </cfRule>
  </conditionalFormatting>
  <conditionalFormatting sqref="K90">
    <cfRule type="expression" dxfId="5" priority="4">
      <formula>$E$10="%"</formula>
    </cfRule>
  </conditionalFormatting>
  <conditionalFormatting sqref="G102:H102 J102:K102 G101:K101">
    <cfRule type="expression" dxfId="4" priority="3">
      <formula>$E$10="%"</formula>
    </cfRule>
  </conditionalFormatting>
  <conditionalFormatting sqref="G104:J104 G103:K103">
    <cfRule type="expression" dxfId="3" priority="2">
      <formula>$E$10="%"</formula>
    </cfRule>
  </conditionalFormatting>
  <conditionalFormatting sqref="K104">
    <cfRule type="expression" dxfId="2" priority="1">
      <formula>$E$10="%"</formula>
    </cfRule>
  </conditionalFormatting>
  <hyperlinks>
    <hyperlink ref="G20" location="Définitions!A1" display="Voir Définitions" xr:uid="{00000000-0004-0000-0200-000000000000}"/>
    <hyperlink ref="I88" location="Définitions!A1" display="Voir Définitions" xr:uid="{00000000-0004-0000-0200-000001000000}"/>
    <hyperlink ref="I150" location="Définitions!A1" display="Voir Définitions" xr:uid="{00000000-0004-0000-0200-000002000000}"/>
    <hyperlink ref="I78" location="Définitions!A1" display="Voir Définitions" xr:uid="{00000000-0004-0000-0200-000003000000}"/>
    <hyperlink ref="I102" location="Définitions!A1" display="Voir Définitions" xr:uid="{00000000-0004-0000-0200-000004000000}"/>
  </hyperlinks>
  <pageMargins left="0.25" right="0.25" top="0.75" bottom="0.75" header="0.3" footer="0.3"/>
  <pageSetup scale="67" fitToHeight="0" orientation="portrait" r:id="rId1"/>
  <drawing r:id="rId2"/>
  <extLst>
    <ext xmlns:x14="http://schemas.microsoft.com/office/spreadsheetml/2009/9/main" uri="{78C0D931-6437-407d-A8EE-F0AAD7539E65}">
      <x14:conditionalFormattings>
        <x14:conditionalFormatting xmlns:xm="http://schemas.microsoft.com/office/excel/2006/main">
          <x14:cfRule type="expression" priority="12" id="{A65729BF-36EA-4301-A7B1-72D1F8266EBB}">
            <xm:f>$E$10=Lég_Choix!$B$29</xm:f>
            <x14:dxf>
              <numFmt numFmtId="13" formatCode="0%"/>
            </x14:dxf>
          </x14:cfRule>
          <xm:sqref>G36:K39</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r:uid="{00000000-0002-0000-0200-000000000000}">
          <x14:formula1>
            <xm:f>Lég_Choix!$B$18:$B$20</xm:f>
          </x14:formula1>
          <xm:sqref>E8:G8</xm:sqref>
        </x14:dataValidation>
        <x14:dataValidation type="list" allowBlank="1" showInputMessage="1" showErrorMessage="1" xr:uid="{00000000-0002-0000-0200-000001000000}">
          <x14:formula1>
            <xm:f>Lég_Choix!$B$27:$B$29</xm:f>
          </x14:formula1>
          <xm:sqref>E10:G10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euil4"/>
  <dimension ref="A3:C52"/>
  <sheetViews>
    <sheetView workbookViewId="0">
      <selection activeCell="C21" sqref="C21"/>
    </sheetView>
  </sheetViews>
  <sheetFormatPr baseColWidth="10" defaultRowHeight="16.5"/>
  <cols>
    <col min="1" max="1" width="3" style="374" customWidth="1"/>
    <col min="2" max="2" width="27" style="384" customWidth="1"/>
    <col min="3" max="3" width="66.5" style="374" customWidth="1"/>
    <col min="4" max="16384" width="11" style="207"/>
  </cols>
  <sheetData>
    <row r="3" spans="1:3" ht="34.5">
      <c r="B3" s="375" t="s">
        <v>148</v>
      </c>
      <c r="C3" s="288"/>
    </row>
    <row r="4" spans="1:3">
      <c r="B4" s="376"/>
      <c r="C4" s="288"/>
    </row>
    <row r="5" spans="1:3">
      <c r="B5" s="376"/>
      <c r="C5" s="288"/>
    </row>
    <row r="6" spans="1:3" ht="35.25" customHeight="1">
      <c r="A6" s="341"/>
      <c r="B6" s="638" t="s">
        <v>149</v>
      </c>
      <c r="C6" s="638"/>
    </row>
    <row r="7" spans="1:3" ht="15.75">
      <c r="A7" s="341"/>
      <c r="B7" s="377"/>
      <c r="C7" s="377"/>
    </row>
    <row r="8" spans="1:3" ht="15.75">
      <c r="A8" s="341"/>
      <c r="B8" s="378" t="s">
        <v>150</v>
      </c>
      <c r="C8" s="377"/>
    </row>
    <row r="9" spans="1:3" ht="15.75">
      <c r="A9" s="341"/>
      <c r="B9" s="379"/>
      <c r="C9" s="377"/>
    </row>
    <row r="10" spans="1:3" ht="40.5">
      <c r="A10" s="341"/>
      <c r="B10" s="380" t="s">
        <v>151</v>
      </c>
      <c r="C10" s="381" t="s">
        <v>152</v>
      </c>
    </row>
    <row r="11" spans="1:3" ht="15.75">
      <c r="A11" s="341"/>
      <c r="B11" s="379"/>
      <c r="C11" s="377"/>
    </row>
    <row r="12" spans="1:3" ht="41.25">
      <c r="A12" s="341"/>
      <c r="B12" s="380" t="s">
        <v>153</v>
      </c>
      <c r="C12" s="382" t="s">
        <v>154</v>
      </c>
    </row>
    <row r="13" spans="1:3" ht="15.75">
      <c r="A13" s="341"/>
      <c r="B13" s="379"/>
      <c r="C13" s="377"/>
    </row>
    <row r="14" spans="1:3" ht="54.75">
      <c r="A14" s="341"/>
      <c r="B14" s="380" t="s">
        <v>276</v>
      </c>
      <c r="C14" s="382" t="s">
        <v>337</v>
      </c>
    </row>
    <row r="15" spans="1:3" ht="15.75">
      <c r="A15" s="341"/>
      <c r="B15" s="379"/>
      <c r="C15" s="377"/>
    </row>
    <row r="16" spans="1:3" ht="41.25">
      <c r="A16" s="341"/>
      <c r="B16" s="380" t="s">
        <v>155</v>
      </c>
      <c r="C16" s="382" t="s">
        <v>156</v>
      </c>
    </row>
    <row r="17" spans="1:3" ht="15.75">
      <c r="A17" s="341"/>
      <c r="B17" s="380"/>
      <c r="C17" s="381"/>
    </row>
    <row r="18" spans="1:3" ht="15.75">
      <c r="A18" s="341"/>
      <c r="B18" s="380"/>
      <c r="C18" s="377"/>
    </row>
    <row r="19" spans="1:3" ht="15.75">
      <c r="A19" s="341"/>
      <c r="B19" s="378" t="s">
        <v>157</v>
      </c>
      <c r="C19" s="377"/>
    </row>
    <row r="20" spans="1:3" ht="15.75">
      <c r="A20" s="341"/>
      <c r="B20" s="379"/>
      <c r="C20" s="377"/>
    </row>
    <row r="21" spans="1:3" ht="27">
      <c r="A21" s="341"/>
      <c r="B21" s="380" t="s">
        <v>335</v>
      </c>
      <c r="C21" s="381" t="s">
        <v>336</v>
      </c>
    </row>
    <row r="22" spans="1:3" ht="15.75">
      <c r="A22" s="341"/>
      <c r="B22" s="380"/>
      <c r="C22" s="377"/>
    </row>
    <row r="23" spans="1:3" ht="15.75">
      <c r="A23" s="341"/>
      <c r="B23" s="380"/>
      <c r="C23" s="377"/>
    </row>
    <row r="24" spans="1:3" ht="15.75">
      <c r="A24" s="341"/>
      <c r="B24" s="378" t="s">
        <v>158</v>
      </c>
      <c r="C24" s="377"/>
    </row>
    <row r="25" spans="1:3" ht="15.75">
      <c r="A25" s="341"/>
      <c r="B25" s="379"/>
      <c r="C25" s="377"/>
    </row>
    <row r="26" spans="1:3" ht="15.75">
      <c r="A26" s="341"/>
      <c r="B26" s="380" t="s">
        <v>159</v>
      </c>
      <c r="C26" s="380" t="s">
        <v>338</v>
      </c>
    </row>
    <row r="27" spans="1:3" ht="15.75">
      <c r="A27" s="341"/>
      <c r="B27" s="379"/>
      <c r="C27" s="377"/>
    </row>
    <row r="28" spans="1:3" ht="40.5">
      <c r="A28" s="341"/>
      <c r="B28" s="380" t="s">
        <v>160</v>
      </c>
      <c r="C28" s="381" t="s">
        <v>254</v>
      </c>
    </row>
    <row r="29" spans="1:3" ht="15.75" customHeight="1">
      <c r="A29" s="341"/>
      <c r="B29" s="379"/>
      <c r="C29" s="377"/>
    </row>
    <row r="30" spans="1:3" ht="40.5">
      <c r="A30" s="341"/>
      <c r="B30" s="380" t="s">
        <v>161</v>
      </c>
      <c r="C30" s="381" t="s">
        <v>253</v>
      </c>
    </row>
    <row r="31" spans="1:3" ht="15.75">
      <c r="A31" s="341"/>
      <c r="B31" s="379"/>
      <c r="C31" s="377"/>
    </row>
    <row r="32" spans="1:3" ht="27">
      <c r="A32" s="341"/>
      <c r="B32" s="380" t="s">
        <v>116</v>
      </c>
      <c r="C32" s="381" t="s">
        <v>162</v>
      </c>
    </row>
    <row r="33" spans="1:3" ht="15.75">
      <c r="A33" s="341"/>
      <c r="B33" s="379"/>
      <c r="C33" s="377"/>
    </row>
    <row r="34" spans="1:3" ht="15.75">
      <c r="A34" s="341"/>
      <c r="B34" s="380" t="s">
        <v>73</v>
      </c>
      <c r="C34" s="381" t="s">
        <v>163</v>
      </c>
    </row>
    <row r="35" spans="1:3" ht="15.75">
      <c r="A35" s="341"/>
      <c r="B35" s="379"/>
      <c r="C35" s="377"/>
    </row>
    <row r="36" spans="1:3" ht="15.75">
      <c r="A36" s="341"/>
      <c r="B36" s="380" t="s">
        <v>119</v>
      </c>
      <c r="C36" s="381" t="s">
        <v>164</v>
      </c>
    </row>
    <row r="37" spans="1:3" ht="15.75">
      <c r="A37" s="341"/>
      <c r="B37" s="380"/>
      <c r="C37" s="382"/>
    </row>
    <row r="38" spans="1:3" ht="15.75">
      <c r="A38" s="341"/>
      <c r="B38" s="380"/>
      <c r="C38" s="382"/>
    </row>
    <row r="39" spans="1:3" ht="15.75">
      <c r="A39" s="341"/>
      <c r="B39" s="378" t="s">
        <v>165</v>
      </c>
      <c r="C39" s="377"/>
    </row>
    <row r="40" spans="1:3" ht="15.75">
      <c r="A40" s="341"/>
      <c r="B40" s="379"/>
      <c r="C40" s="377"/>
    </row>
    <row r="41" spans="1:3" ht="15.75">
      <c r="A41" s="341"/>
      <c r="B41" s="380" t="s">
        <v>315</v>
      </c>
      <c r="C41" s="381" t="s">
        <v>331</v>
      </c>
    </row>
    <row r="42" spans="1:3" ht="15.75">
      <c r="A42" s="341"/>
      <c r="B42" s="379"/>
      <c r="C42" s="377"/>
    </row>
    <row r="43" spans="1:3" ht="27">
      <c r="A43" s="341"/>
      <c r="B43" s="380" t="s">
        <v>139</v>
      </c>
      <c r="C43" s="381" t="s">
        <v>334</v>
      </c>
    </row>
    <row r="44" spans="1:3" ht="15.75">
      <c r="A44" s="341"/>
      <c r="B44" s="379"/>
      <c r="C44" s="377"/>
    </row>
    <row r="45" spans="1:3" ht="40.5">
      <c r="A45" s="341"/>
      <c r="B45" s="380" t="s">
        <v>15</v>
      </c>
      <c r="C45" s="381" t="s">
        <v>256</v>
      </c>
    </row>
    <row r="46" spans="1:3" ht="15.75">
      <c r="A46" s="341"/>
      <c r="B46" s="379"/>
      <c r="C46" s="377"/>
    </row>
    <row r="47" spans="1:3" ht="108">
      <c r="A47" s="341"/>
      <c r="B47" s="380" t="s">
        <v>33</v>
      </c>
      <c r="C47" s="381" t="s">
        <v>166</v>
      </c>
    </row>
    <row r="48" spans="1:3" ht="15.75">
      <c r="A48" s="341"/>
      <c r="B48" s="379"/>
      <c r="C48" s="377"/>
    </row>
    <row r="49" spans="1:3" ht="27">
      <c r="A49" s="341"/>
      <c r="B49" s="380" t="s">
        <v>32</v>
      </c>
      <c r="C49" s="381" t="s">
        <v>167</v>
      </c>
    </row>
    <row r="50" spans="1:3" ht="15.75">
      <c r="A50" s="341"/>
      <c r="B50" s="379"/>
      <c r="C50" s="377"/>
    </row>
    <row r="51" spans="1:3" ht="40.5">
      <c r="A51" s="341"/>
      <c r="B51" s="380" t="s">
        <v>168</v>
      </c>
      <c r="C51" s="381" t="s">
        <v>252</v>
      </c>
    </row>
    <row r="52" spans="1:3" ht="15.75">
      <c r="A52" s="341"/>
      <c r="B52" s="383"/>
      <c r="C52" s="341"/>
    </row>
  </sheetData>
  <mergeCells count="1">
    <mergeCell ref="B6:C6"/>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euil5"/>
  <dimension ref="A1:AR242"/>
  <sheetViews>
    <sheetView zoomScale="90" zoomScaleNormal="90" workbookViewId="0">
      <pane xSplit="3" ySplit="3" topLeftCell="U4" activePane="bottomRight" state="frozen"/>
      <selection pane="topRight" activeCell="D1" sqref="D1"/>
      <selection pane="bottomLeft" activeCell="A4" sqref="A4"/>
      <selection pane="bottomRight" activeCell="Y255" sqref="Y255"/>
    </sheetView>
  </sheetViews>
  <sheetFormatPr baseColWidth="10" defaultRowHeight="16.5"/>
  <cols>
    <col min="1" max="1" width="2.25" customWidth="1"/>
    <col min="2" max="2" width="5.375" style="41" customWidth="1"/>
    <col min="3" max="3" width="29.125" style="56" customWidth="1"/>
    <col min="4" max="4" width="10.125" style="56" customWidth="1"/>
    <col min="8" max="8" width="1.625" customWidth="1"/>
    <col min="9" max="9" width="4.125" customWidth="1"/>
    <col min="10" max="10" width="19.875" style="183" customWidth="1"/>
    <col min="11" max="11" width="4.125" customWidth="1"/>
    <col min="12" max="13" width="11" customWidth="1"/>
    <col min="14" max="14" width="11.75" style="137" customWidth="1"/>
    <col min="15" max="15" width="4.125" customWidth="1"/>
    <col min="16" max="16" width="11" style="154" customWidth="1"/>
    <col min="17" max="19" width="11" customWidth="1"/>
    <col min="20" max="20" width="11.875" customWidth="1"/>
    <col min="21" max="21" width="4.125" style="57" customWidth="1"/>
    <col min="22" max="22" width="11" style="154" customWidth="1"/>
    <col min="23" max="23" width="11.75" customWidth="1"/>
    <col min="24" max="25" width="11" customWidth="1"/>
    <col min="26" max="26" width="13" bestFit="1" customWidth="1"/>
    <col min="27" max="27" width="4.125" style="57" customWidth="1"/>
    <col min="28" max="28" width="11" style="154" customWidth="1"/>
    <col min="29" max="31" width="11" customWidth="1"/>
    <col min="32" max="32" width="13" bestFit="1" customWidth="1"/>
    <col min="33" max="33" width="4.125" style="57" customWidth="1"/>
    <col min="34" max="34" width="11" style="154" customWidth="1"/>
    <col min="35" max="38" width="11" customWidth="1"/>
    <col min="39" max="39" width="4.125" style="57" customWidth="1"/>
    <col min="40" max="40" width="11" style="154" customWidth="1"/>
    <col min="41" max="44" width="11" customWidth="1"/>
    <col min="45" max="45" width="4.125" customWidth="1"/>
  </cols>
  <sheetData>
    <row r="1" spans="1:44" hidden="1" thickBot="1">
      <c r="A1">
        <v>1</v>
      </c>
      <c r="B1" s="41">
        <f>A1+1</f>
        <v>2</v>
      </c>
      <c r="C1" s="41">
        <f t="shared" ref="C1" si="0">B1+1</f>
        <v>3</v>
      </c>
      <c r="D1" s="41">
        <f>C1+1</f>
        <v>4</v>
      </c>
      <c r="E1" s="41">
        <f>D1+1</f>
        <v>5</v>
      </c>
      <c r="F1" s="41">
        <f t="shared" ref="F1:AR1" si="1">E1+1</f>
        <v>6</v>
      </c>
      <c r="G1" s="41">
        <f t="shared" si="1"/>
        <v>7</v>
      </c>
      <c r="H1" s="41">
        <f t="shared" si="1"/>
        <v>8</v>
      </c>
      <c r="I1" s="41">
        <f t="shared" si="1"/>
        <v>9</v>
      </c>
      <c r="J1" s="181">
        <f t="shared" si="1"/>
        <v>10</v>
      </c>
      <c r="K1" s="41">
        <f t="shared" si="1"/>
        <v>11</v>
      </c>
      <c r="L1" s="41">
        <f t="shared" si="1"/>
        <v>12</v>
      </c>
      <c r="M1" s="41">
        <f t="shared" si="1"/>
        <v>13</v>
      </c>
      <c r="N1" s="41">
        <f t="shared" si="1"/>
        <v>14</v>
      </c>
      <c r="O1" s="41">
        <f t="shared" si="1"/>
        <v>15</v>
      </c>
      <c r="P1" s="41">
        <f t="shared" si="1"/>
        <v>16</v>
      </c>
      <c r="Q1" s="41">
        <f t="shared" si="1"/>
        <v>17</v>
      </c>
      <c r="R1" s="41">
        <f t="shared" si="1"/>
        <v>18</v>
      </c>
      <c r="S1" s="41">
        <f t="shared" si="1"/>
        <v>19</v>
      </c>
      <c r="T1" s="41">
        <f t="shared" si="1"/>
        <v>20</v>
      </c>
      <c r="U1" s="41">
        <f t="shared" si="1"/>
        <v>21</v>
      </c>
      <c r="V1" s="41">
        <f t="shared" si="1"/>
        <v>22</v>
      </c>
      <c r="W1" s="41">
        <f t="shared" si="1"/>
        <v>23</v>
      </c>
      <c r="X1" s="41">
        <f t="shared" si="1"/>
        <v>24</v>
      </c>
      <c r="Y1" s="41">
        <f t="shared" si="1"/>
        <v>25</v>
      </c>
      <c r="Z1" s="41">
        <f t="shared" si="1"/>
        <v>26</v>
      </c>
      <c r="AA1" s="41">
        <f t="shared" si="1"/>
        <v>27</v>
      </c>
      <c r="AB1" s="41">
        <f t="shared" si="1"/>
        <v>28</v>
      </c>
      <c r="AC1" s="41">
        <f t="shared" si="1"/>
        <v>29</v>
      </c>
      <c r="AD1" s="41">
        <f t="shared" si="1"/>
        <v>30</v>
      </c>
      <c r="AE1" s="41">
        <f t="shared" si="1"/>
        <v>31</v>
      </c>
      <c r="AF1" s="41">
        <f t="shared" si="1"/>
        <v>32</v>
      </c>
      <c r="AG1" s="41">
        <f t="shared" si="1"/>
        <v>33</v>
      </c>
      <c r="AH1" s="41">
        <f t="shared" si="1"/>
        <v>34</v>
      </c>
      <c r="AI1" s="41">
        <f t="shared" si="1"/>
        <v>35</v>
      </c>
      <c r="AJ1" s="41">
        <f t="shared" si="1"/>
        <v>36</v>
      </c>
      <c r="AK1" s="41">
        <f t="shared" si="1"/>
        <v>37</v>
      </c>
      <c r="AL1" s="41">
        <f t="shared" si="1"/>
        <v>38</v>
      </c>
      <c r="AM1" s="41">
        <f t="shared" si="1"/>
        <v>39</v>
      </c>
      <c r="AN1" s="41">
        <f t="shared" si="1"/>
        <v>40</v>
      </c>
      <c r="AO1" s="41">
        <f t="shared" si="1"/>
        <v>41</v>
      </c>
      <c r="AP1" s="41">
        <f t="shared" si="1"/>
        <v>42</v>
      </c>
      <c r="AQ1" s="41">
        <f t="shared" si="1"/>
        <v>43</v>
      </c>
      <c r="AR1" s="41">
        <f t="shared" si="1"/>
        <v>44</v>
      </c>
    </row>
    <row r="2" spans="1:44" ht="39.950000000000003" hidden="1" customHeight="1" thickBot="1">
      <c r="C2" s="161" t="s">
        <v>84</v>
      </c>
      <c r="D2" s="162">
        <f>Lég_Choix!H26</f>
        <v>7</v>
      </c>
      <c r="E2" s="41"/>
      <c r="F2" s="41"/>
      <c r="G2" s="41"/>
      <c r="H2" s="41"/>
      <c r="I2" s="41"/>
      <c r="J2" s="201" t="s">
        <v>84</v>
      </c>
      <c r="K2" s="41"/>
      <c r="L2" s="199">
        <v>1</v>
      </c>
      <c r="M2" s="199">
        <v>2</v>
      </c>
      <c r="N2" s="199">
        <v>3</v>
      </c>
      <c r="O2" s="199"/>
      <c r="P2" s="199"/>
      <c r="Q2" s="199"/>
      <c r="R2" s="199">
        <v>4</v>
      </c>
      <c r="S2" s="199">
        <v>5</v>
      </c>
      <c r="T2" s="199">
        <v>6</v>
      </c>
      <c r="U2" s="200"/>
      <c r="V2" s="199"/>
      <c r="W2" s="199"/>
      <c r="X2" s="199">
        <v>7</v>
      </c>
      <c r="Y2" s="199">
        <v>8</v>
      </c>
      <c r="Z2" s="199">
        <v>9</v>
      </c>
      <c r="AA2" s="110"/>
      <c r="AB2" s="41"/>
      <c r="AC2" s="41"/>
      <c r="AD2" s="199">
        <v>10</v>
      </c>
      <c r="AE2" s="199">
        <v>11</v>
      </c>
      <c r="AF2" s="199">
        <v>12</v>
      </c>
      <c r="AG2" s="110"/>
      <c r="AH2" s="41"/>
      <c r="AI2" s="41"/>
      <c r="AJ2" s="199">
        <v>13</v>
      </c>
      <c r="AK2" s="199">
        <v>14</v>
      </c>
      <c r="AL2" s="199">
        <v>15</v>
      </c>
      <c r="AM2" s="110"/>
      <c r="AN2" s="41"/>
      <c r="AO2" s="41"/>
      <c r="AP2" s="199">
        <v>16</v>
      </c>
      <c r="AQ2" s="199">
        <v>17</v>
      </c>
      <c r="AR2" s="199">
        <v>18</v>
      </c>
    </row>
    <row r="3" spans="1:44" ht="47.25" hidden="1" customHeight="1">
      <c r="A3" s="15"/>
      <c r="B3" s="16"/>
      <c r="C3" s="15"/>
      <c r="D3" s="15"/>
    </row>
    <row r="4" spans="1:44" hidden="1">
      <c r="A4" s="15"/>
      <c r="B4" s="17"/>
      <c r="C4" s="18" t="s">
        <v>38</v>
      </c>
      <c r="D4" s="18"/>
      <c r="E4" s="18" t="s">
        <v>65</v>
      </c>
      <c r="F4" s="18"/>
      <c r="G4" s="58" t="s">
        <v>4</v>
      </c>
      <c r="H4" s="59"/>
      <c r="P4" s="154" t="s">
        <v>72</v>
      </c>
      <c r="V4" s="154" t="s">
        <v>72</v>
      </c>
      <c r="AB4" s="154" t="s">
        <v>72</v>
      </c>
      <c r="AH4" s="154" t="s">
        <v>72</v>
      </c>
      <c r="AN4" s="154" t="s">
        <v>72</v>
      </c>
    </row>
    <row r="5" spans="1:44" ht="15.75" hidden="1">
      <c r="B5" s="19"/>
      <c r="C5" s="19"/>
      <c r="D5" s="19"/>
      <c r="E5" s="60"/>
      <c r="F5" s="19"/>
      <c r="G5" s="20"/>
      <c r="H5" s="20"/>
    </row>
    <row r="6" spans="1:44" ht="15.75" hidden="1">
      <c r="B6" s="19"/>
      <c r="C6" s="19" t="s">
        <v>276</v>
      </c>
      <c r="D6" s="19"/>
      <c r="E6" s="61">
        <v>806.59541821514313</v>
      </c>
      <c r="F6" s="19"/>
      <c r="G6" s="20" t="s">
        <v>277</v>
      </c>
      <c r="H6" s="20"/>
      <c r="L6" t="s">
        <v>87</v>
      </c>
      <c r="N6" s="137">
        <f>G176+G203+G208+G209</f>
        <v>832393.42872986908</v>
      </c>
      <c r="R6" t="s">
        <v>87</v>
      </c>
      <c r="T6" s="137">
        <f>Q176+Q203+Q208+Q209</f>
        <v>795302.35348514572</v>
      </c>
      <c r="X6" t="s">
        <v>87</v>
      </c>
      <c r="Z6" s="137">
        <f>W176+W203+W208+W209</f>
        <v>790055.33676472702</v>
      </c>
      <c r="AD6" t="s">
        <v>87</v>
      </c>
      <c r="AF6" s="137">
        <f>AC176+AC203+AC208+AC209</f>
        <v>763897.10057574802</v>
      </c>
      <c r="AJ6" t="s">
        <v>87</v>
      </c>
      <c r="AL6" s="137" t="e">
        <f>AI176+AI203+AI208+AI209</f>
        <v>#REF!</v>
      </c>
      <c r="AP6" t="s">
        <v>87</v>
      </c>
      <c r="AR6" s="137" t="e">
        <f>AO176+AO203+AO208+AO209</f>
        <v>#REF!</v>
      </c>
    </row>
    <row r="7" spans="1:44" ht="15.75" hidden="1" customHeight="1">
      <c r="B7" s="19"/>
      <c r="C7" s="19" t="s">
        <v>321</v>
      </c>
      <c r="D7" s="19"/>
      <c r="E7" s="60">
        <v>300654.88914575183</v>
      </c>
      <c r="F7" s="62"/>
      <c r="G7" s="20" t="s">
        <v>316</v>
      </c>
      <c r="H7" s="20"/>
      <c r="M7" s="202"/>
      <c r="T7" s="137"/>
      <c r="Z7" s="137"/>
      <c r="AF7" s="137"/>
      <c r="AL7" s="137"/>
      <c r="AR7" s="137"/>
    </row>
    <row r="8" spans="1:44" ht="15.75" hidden="1">
      <c r="B8" s="20"/>
      <c r="C8" s="20"/>
      <c r="D8" s="20"/>
      <c r="E8" s="63"/>
      <c r="F8" s="64"/>
      <c r="G8" s="20"/>
      <c r="H8" s="20"/>
      <c r="L8" s="643" t="s">
        <v>88</v>
      </c>
      <c r="M8" s="643"/>
      <c r="R8" s="643" t="s">
        <v>88</v>
      </c>
      <c r="S8" s="643"/>
      <c r="X8" s="643" t="s">
        <v>88</v>
      </c>
      <c r="Y8" s="643"/>
      <c r="AD8" s="643" t="s">
        <v>88</v>
      </c>
      <c r="AE8" s="643"/>
      <c r="AJ8" s="643" t="s">
        <v>88</v>
      </c>
      <c r="AK8" s="643"/>
      <c r="AP8" s="643" t="s">
        <v>88</v>
      </c>
      <c r="AQ8" s="643"/>
    </row>
    <row r="9" spans="1:44" ht="15.75" hidden="1">
      <c r="B9" s="19"/>
      <c r="C9" s="19"/>
      <c r="D9" s="19"/>
      <c r="E9" s="60"/>
      <c r="F9" s="65"/>
      <c r="G9" s="20"/>
      <c r="H9" s="20"/>
      <c r="L9" s="643"/>
      <c r="M9" s="643"/>
      <c r="N9" s="137">
        <f>G16+G25+G30+G35+G47+G57+G63+G67+G73+G81+G87+G91+G102+G107+G112+G118+G123+G128+G138+G145</f>
        <v>719557.55042631424</v>
      </c>
      <c r="R9" s="643"/>
      <c r="S9" s="643"/>
      <c r="T9" s="137">
        <f>Q16+Q25+Q30+Q35+Q47+Q57+Q63+Q67+Q73+Q81+Q87+Q91+Q102+Q107+Q112+Q118+Q123+Q128+Q138+Q145</f>
        <v>747449.79239047179</v>
      </c>
      <c r="X9" s="643"/>
      <c r="Y9" s="643"/>
      <c r="Z9" s="137">
        <f>W16+W25+W30+W35+W47+W57+W63+W67+W73+W81+W87+W91+W102+W107+W112+W118+W123+W128+W138+W145</f>
        <v>763457.50301839912</v>
      </c>
      <c r="AD9" s="643"/>
      <c r="AE9" s="643"/>
      <c r="AF9" s="137">
        <f>AC16+AC25+AC30+AC35+AC47+AC57+AC63+AC67+AC73+AC81+AC87+AC91+AC102+AC107+AC112+AC118+AC123+AC128+AC138+AC145</f>
        <v>853317.76270661072</v>
      </c>
      <c r="AJ9" s="643"/>
      <c r="AK9" s="643"/>
      <c r="AL9" s="137">
        <f>AI16+AI25+AI30+AI35+AI47+AI57+AI63+AI67+AI73+AI81+AI87+AI91+AI102+AI107+AI112+AI118+AI123+AI128+AI138+AI145</f>
        <v>51273.116803437566</v>
      </c>
      <c r="AP9" s="643"/>
      <c r="AQ9" s="643"/>
      <c r="AR9" s="137">
        <f>AO16+AO25+AO30+AO35+AO47+AO57+AO63+AO67+AO73+AO81+AO87+AO91+AO102+AO107+AO112+AO118+AO123+AO128+AO138+AO145</f>
        <v>51273.116803437566</v>
      </c>
    </row>
    <row r="10" spans="1:44" ht="15.75" hidden="1">
      <c r="B10" s="20"/>
      <c r="C10" s="19"/>
      <c r="D10" s="19"/>
      <c r="E10" s="66"/>
      <c r="F10" s="67"/>
      <c r="G10" s="20"/>
      <c r="H10" s="20"/>
    </row>
    <row r="11" spans="1:44" ht="15.75" hidden="1">
      <c r="A11" s="21"/>
      <c r="B11" s="17">
        <v>1</v>
      </c>
      <c r="C11" s="18" t="s">
        <v>174</v>
      </c>
      <c r="D11" s="18" t="s">
        <v>65</v>
      </c>
      <c r="E11" s="18"/>
      <c r="F11" s="18" t="s">
        <v>66</v>
      </c>
      <c r="G11" s="68" t="s">
        <v>67</v>
      </c>
      <c r="H11" s="20"/>
      <c r="J11" s="184" t="s">
        <v>86</v>
      </c>
      <c r="L11" s="69" t="s">
        <v>278</v>
      </c>
      <c r="M11" s="69" t="s">
        <v>279</v>
      </c>
      <c r="N11" s="138" t="s">
        <v>83</v>
      </c>
      <c r="Q11" s="69" t="s">
        <v>67</v>
      </c>
      <c r="R11" s="69" t="s">
        <v>278</v>
      </c>
      <c r="S11" s="69" t="s">
        <v>279</v>
      </c>
      <c r="T11" s="138" t="s">
        <v>83</v>
      </c>
      <c r="W11" s="69" t="s">
        <v>67</v>
      </c>
      <c r="X11" s="69" t="s">
        <v>278</v>
      </c>
      <c r="Y11" s="69" t="s">
        <v>279</v>
      </c>
      <c r="Z11" s="138" t="s">
        <v>83</v>
      </c>
      <c r="AC11" s="69" t="s">
        <v>67</v>
      </c>
      <c r="AD11" s="69" t="s">
        <v>278</v>
      </c>
      <c r="AE11" s="69" t="s">
        <v>279</v>
      </c>
      <c r="AF11" s="138" t="s">
        <v>83</v>
      </c>
      <c r="AI11" s="69" t="s">
        <v>67</v>
      </c>
      <c r="AJ11" s="69" t="s">
        <v>278</v>
      </c>
      <c r="AK11" s="69" t="s">
        <v>279</v>
      </c>
      <c r="AL11" s="138" t="s">
        <v>83</v>
      </c>
      <c r="AO11" s="69" t="s">
        <v>67</v>
      </c>
      <c r="AP11" s="69" t="s">
        <v>278</v>
      </c>
      <c r="AQ11" s="69" t="s">
        <v>279</v>
      </c>
      <c r="AR11" s="138" t="s">
        <v>83</v>
      </c>
    </row>
    <row r="12" spans="1:44" ht="15.75" hidden="1">
      <c r="B12" s="24"/>
      <c r="C12" s="403" t="s">
        <v>280</v>
      </c>
      <c r="D12" s="25">
        <v>600.97668291795776</v>
      </c>
      <c r="E12" s="25"/>
      <c r="F12" s="25">
        <v>123.10910260539282</v>
      </c>
      <c r="G12" s="73">
        <v>73985.700120795489</v>
      </c>
      <c r="H12" s="20"/>
      <c r="J12" s="186">
        <f t="shared" ref="J12:J15" si="2">IF($D$2=$L$2,L12,IF($D$2=$M$2,M12,IF($D$2=$N$2,N12,IF($D$2=$R$2,R12,IF($D$2=$S$2,S12,IF($D$2=$T$2,T12,IF($D$2=$X$2,X12,IF($D$2=$Y$2,Y12,IF($D$2=$Z$2,Z12,IF($D$2=$AD$2,AD12,IF($D$2=$AE$2,AE12,IF($D$2=$AF$2,AF12,IF($D$2=$AJ$2,AJ12,IF($D$2=$AK$2,AK12,IF($D$2=$AL$2,AL12,IF($D$2=$AP$2,AP12,IF($D$2=$AQ$2,AQ12,IF($D$2=$AR$2,AR12))))))))))))))))))</f>
        <v>103.32080168129499</v>
      </c>
      <c r="L12" s="74">
        <v>91.725911714838546</v>
      </c>
      <c r="M12" s="74">
        <v>24.608181270895152</v>
      </c>
      <c r="N12" s="140"/>
      <c r="P12" s="153">
        <f>121.39/119.85</f>
        <v>1.01284939507718</v>
      </c>
      <c r="Q12" s="137">
        <f>G12*P12</f>
        <v>74936.371611709357</v>
      </c>
      <c r="R12" s="544">
        <f>Q12/$E$6</f>
        <v>92.904534193277044</v>
      </c>
      <c r="S12" s="544">
        <f>Q12/($E$7/100)</f>
        <v>24.924381514175746</v>
      </c>
      <c r="V12" s="153">
        <f>135/119.85</f>
        <v>1.1264080100125158</v>
      </c>
      <c r="W12" s="137">
        <f>G12*V12</f>
        <v>83338.085242447996</v>
      </c>
      <c r="X12" s="544">
        <f>W12/$E$6</f>
        <v>103.32080168129499</v>
      </c>
      <c r="Y12" s="544">
        <f>W12/($E$7/100)</f>
        <v>27.718852495376272</v>
      </c>
      <c r="AB12" s="153">
        <f>146/135</f>
        <v>1.0814814814814815</v>
      </c>
      <c r="AC12" s="137">
        <f t="shared" ref="AC12:AC14" si="3">W12*AB12</f>
        <v>90128.595891832651</v>
      </c>
      <c r="AD12" s="544">
        <f>AC12/$E$6</f>
        <v>111.73953367014126</v>
      </c>
      <c r="AE12" s="544">
        <f>AC12/($E$7/100)</f>
        <v>29.977425661666189</v>
      </c>
      <c r="AH12" s="153"/>
      <c r="AI12" s="137">
        <f t="shared" ref="AI12:AI14" si="4">AC12*AH12</f>
        <v>0</v>
      </c>
      <c r="AJ12" s="544">
        <f>AI12/$E$6</f>
        <v>0</v>
      </c>
      <c r="AK12" s="544">
        <f>AI12/($E$7/100)</f>
        <v>0</v>
      </c>
      <c r="AN12" s="153"/>
      <c r="AO12" s="137">
        <f>AI12*AN12</f>
        <v>0</v>
      </c>
      <c r="AP12" s="544">
        <f>AO12/$E$6</f>
        <v>0</v>
      </c>
      <c r="AQ12" s="544">
        <f>AO12/($E$7/100)</f>
        <v>0</v>
      </c>
    </row>
    <row r="13" spans="1:44" ht="15.75" hidden="1">
      <c r="B13" s="24"/>
      <c r="C13" s="25" t="s">
        <v>317</v>
      </c>
      <c r="D13" s="25">
        <v>470.03415449222422</v>
      </c>
      <c r="E13" s="25"/>
      <c r="F13" s="25">
        <v>7.4336098476560837</v>
      </c>
      <c r="G13" s="73">
        <v>3494.0505195680989</v>
      </c>
      <c r="H13" s="20"/>
      <c r="J13" s="186">
        <f t="shared" si="2"/>
        <v>4.4057692481101487</v>
      </c>
      <c r="L13" s="74">
        <v>4.3318501948595634</v>
      </c>
      <c r="M13" s="74">
        <v>1.1621465825803514</v>
      </c>
      <c r="N13" s="140"/>
      <c r="P13" s="153">
        <f>136.8/134.2</f>
        <v>1.0193740685543966</v>
      </c>
      <c r="Q13" s="137">
        <f>G13*P13</f>
        <v>3561.7444938667363</v>
      </c>
      <c r="R13" s="544">
        <f>Q13/$E$6</f>
        <v>4.415775757502149</v>
      </c>
      <c r="S13" s="544">
        <f>Q13/($E$7/100)</f>
        <v>1.1846620901415208</v>
      </c>
      <c r="V13" s="153">
        <f>136.49/134.2</f>
        <v>1.0170640834575262</v>
      </c>
      <c r="W13" s="137">
        <f>G13*V13</f>
        <v>3553.6732892388218</v>
      </c>
      <c r="X13" s="544">
        <f>W13/$E$6</f>
        <v>4.4057692481101487</v>
      </c>
      <c r="Y13" s="544">
        <f>W13/($E$7/100)</f>
        <v>1.1819775488553814</v>
      </c>
      <c r="AB13" s="153">
        <f>148.1/136.49</f>
        <v>1.0850611766429774</v>
      </c>
      <c r="AC13" s="137">
        <f t="shared" si="3"/>
        <v>3855.9529206261959</v>
      </c>
      <c r="AD13" s="544">
        <f>AC13/$E$6</f>
        <v>4.7805291643718437</v>
      </c>
      <c r="AE13" s="544">
        <f>AC13/($E$7/100)</f>
        <v>1.2825179499266024</v>
      </c>
      <c r="AH13" s="153"/>
      <c r="AI13" s="137">
        <f t="shared" si="4"/>
        <v>0</v>
      </c>
      <c r="AJ13" s="544">
        <f>AI13/$E$6</f>
        <v>0</v>
      </c>
      <c r="AK13" s="544">
        <f>AI13/($E$7/100)</f>
        <v>0</v>
      </c>
      <c r="AN13" s="153"/>
      <c r="AO13" s="137">
        <f t="shared" ref="AO13:AO14" si="5">AI13*AN13</f>
        <v>0</v>
      </c>
      <c r="AP13" s="544">
        <f>AO13/$E$6</f>
        <v>0</v>
      </c>
      <c r="AQ13" s="544">
        <f>AO13/($E$7/100)</f>
        <v>0</v>
      </c>
    </row>
    <row r="14" spans="1:44" ht="15.75" hidden="1">
      <c r="B14" s="24"/>
      <c r="C14" s="25" t="s">
        <v>318</v>
      </c>
      <c r="D14" s="25">
        <v>432.54729848269</v>
      </c>
      <c r="E14" s="25"/>
      <c r="F14" s="25">
        <v>6.4525348587472724</v>
      </c>
      <c r="G14" s="73">
        <v>2791.0265215165182</v>
      </c>
      <c r="H14" s="20"/>
      <c r="J14" s="186">
        <f t="shared" si="2"/>
        <v>3.798919198112479</v>
      </c>
      <c r="L14" s="74">
        <v>3.4602558587458625</v>
      </c>
      <c r="M14" s="74">
        <v>0.92831569426548755</v>
      </c>
      <c r="N14" s="140"/>
      <c r="P14" s="153">
        <f>12.33/11.75</f>
        <v>1.0493617021276596</v>
      </c>
      <c r="Q14" s="137">
        <f>G14*P14</f>
        <v>2928.7963413020143</v>
      </c>
      <c r="R14" s="544">
        <f>Q14/$E$6</f>
        <v>3.6310599777307644</v>
      </c>
      <c r="S14" s="544">
        <f>Q14/($E$7/100)</f>
        <v>0.97413893704625198</v>
      </c>
      <c r="V14" s="153">
        <f>12.9/11.75</f>
        <v>1.0978723404255319</v>
      </c>
      <c r="W14" s="137">
        <f>G14*V14</f>
        <v>3064.1908193670711</v>
      </c>
      <c r="X14" s="544">
        <f>W14/$E$6</f>
        <v>3.798919198112479</v>
      </c>
      <c r="Y14" s="544">
        <f>W14/($E$7/100)</f>
        <v>1.0191721239170033</v>
      </c>
      <c r="AB14" s="153">
        <f>13.37/12.9</f>
        <v>1.0364341085271318</v>
      </c>
      <c r="AC14" s="137">
        <f t="shared" si="3"/>
        <v>3175.8318802277317</v>
      </c>
      <c r="AD14" s="544">
        <f>AC14/$E$6</f>
        <v>3.9373294324623132</v>
      </c>
      <c r="AE14" s="544">
        <f>AC14/($E$7/100)</f>
        <v>1.0563047516876227</v>
      </c>
      <c r="AH14" s="153"/>
      <c r="AI14" s="137">
        <f t="shared" si="4"/>
        <v>0</v>
      </c>
      <c r="AJ14" s="544">
        <f>AI14/$E$6</f>
        <v>0</v>
      </c>
      <c r="AK14" s="544">
        <f>AI14/($E$7/100)</f>
        <v>0</v>
      </c>
      <c r="AN14" s="153"/>
      <c r="AO14" s="137">
        <f t="shared" si="5"/>
        <v>0</v>
      </c>
      <c r="AP14" s="544">
        <f>AO14/$E$6</f>
        <v>0</v>
      </c>
      <c r="AQ14" s="544">
        <f>AO14/($E$7/100)</f>
        <v>0</v>
      </c>
    </row>
    <row r="15" spans="1:44" ht="15.75" hidden="1">
      <c r="B15" s="24"/>
      <c r="C15" s="403" t="s">
        <v>281</v>
      </c>
      <c r="D15" s="25">
        <v>326.2517988638582</v>
      </c>
      <c r="E15" s="25"/>
      <c r="F15" s="25">
        <v>406.23430881575871</v>
      </c>
      <c r="G15" s="73">
        <v>132534.67401135736</v>
      </c>
      <c r="H15" s="20"/>
      <c r="J15" s="186">
        <f t="shared" si="2"/>
        <v>173.19822227027777</v>
      </c>
      <c r="L15" s="74">
        <v>164.31369558809769</v>
      </c>
      <c r="M15" s="74">
        <v>44.08199526970175</v>
      </c>
      <c r="N15" s="140"/>
      <c r="P15" s="153">
        <f>426.79/410.39</f>
        <v>1.0399619873778603</v>
      </c>
      <c r="Q15" s="137">
        <f>G15*P15</f>
        <v>137831.02298132805</v>
      </c>
      <c r="R15" s="544">
        <f>Q15/$E$6</f>
        <v>170.87999741719881</v>
      </c>
      <c r="S15" s="544">
        <f>Q15/($E$7/100)</f>
        <v>45.843599408260459</v>
      </c>
      <c r="V15" s="153">
        <f>432.58/410.39</f>
        <v>1.0540705182874825</v>
      </c>
      <c r="W15" s="137">
        <f>G15*V15</f>
        <v>139700.89252621401</v>
      </c>
      <c r="X15" s="544">
        <f>W15/$E$6</f>
        <v>173.19822227027777</v>
      </c>
      <c r="Y15" s="544">
        <f>W15/($E$7/100)</f>
        <v>46.465531601080876</v>
      </c>
      <c r="AB15" s="153">
        <f>462.83/432.58</f>
        <v>1.0699292616394656</v>
      </c>
      <c r="AC15" s="137">
        <f t="shared" ref="AC15" si="6">W15*AB15</f>
        <v>149470.07279094649</v>
      </c>
      <c r="AD15" s="544">
        <f>AC15/$E$6</f>
        <v>185.30984607090633</v>
      </c>
      <c r="AE15" s="544">
        <f>AC15/($E$7/100)</f>
        <v>49.714831917629716</v>
      </c>
      <c r="AH15" s="153"/>
      <c r="AI15" s="137">
        <f t="shared" ref="AI15" si="7">AC15*AH15</f>
        <v>0</v>
      </c>
      <c r="AJ15" s="544">
        <f>AI15/$E$6</f>
        <v>0</v>
      </c>
      <c r="AK15" s="544">
        <f>AI15/($E$7/100)</f>
        <v>0</v>
      </c>
      <c r="AN15" s="153"/>
      <c r="AO15" s="137">
        <f t="shared" ref="AO15" si="8">AI15*AN15</f>
        <v>0</v>
      </c>
      <c r="AP15" s="544">
        <f>AO15/$E$6</f>
        <v>0</v>
      </c>
      <c r="AQ15" s="544">
        <f>AO15/($E$7/100)</f>
        <v>0</v>
      </c>
    </row>
    <row r="16" spans="1:44" ht="15.75" hidden="1">
      <c r="B16" s="26"/>
      <c r="C16" s="27" t="s">
        <v>6</v>
      </c>
      <c r="D16" s="27"/>
      <c r="E16" s="75"/>
      <c r="F16" s="76"/>
      <c r="G16" s="77">
        <v>212805.45117323747</v>
      </c>
      <c r="H16" s="78"/>
      <c r="J16" s="187">
        <f t="shared" ref="J16" si="9">IF($D$2=$L$2,L16,IF($D$2=$M$2,M16,IF($D$2=$N$2,N16,IF($D$2=$R$2,R16,IF($D$2=$S$2,S16,IF($D$2=$T$2,T16,IF($D$2=$X$2,X16,IF($D$2=$Y$2,Y16,IF($D$2=$Z$2,Z16,IF($D$2=$AD$2,AD16,IF($D$2=$AE$2,AE16,IF($D$2=$AF$2,AF16,IF($D$2=$AJ$2,AJ16,IF($D$2=$AK$2,AK16,IF($D$2=$AL$2,AL16,IF($D$2=$AP$2,AP16,IF($D$2=$AQ$2,AQ16,IF($D$2=$AR$2,AR16))))))))))))))))))</f>
        <v>284.7237123977954</v>
      </c>
      <c r="L16" s="79">
        <v>263.83171335654168</v>
      </c>
      <c r="M16" s="79">
        <v>70.780638817442735</v>
      </c>
      <c r="N16" s="203">
        <f>G16/$N$9</f>
        <v>0.29574486578197562</v>
      </c>
      <c r="P16" s="156"/>
      <c r="Q16" s="157">
        <f>SUM(Q12:Q15)</f>
        <v>219257.93542820617</v>
      </c>
      <c r="R16" s="559">
        <f>Q16/$E$6</f>
        <v>271.83136734570877</v>
      </c>
      <c r="S16" s="559">
        <f>Q16/($E$7/100)</f>
        <v>72.926781949623987</v>
      </c>
      <c r="T16" s="411">
        <f>Q16/T$9</f>
        <v>0.29334135571431752</v>
      </c>
      <c r="V16" s="156"/>
      <c r="W16" s="157">
        <f>SUM(W12:W15)</f>
        <v>229656.8418772679</v>
      </c>
      <c r="X16" s="559">
        <f>W16/$E$6</f>
        <v>284.7237123977954</v>
      </c>
      <c r="Y16" s="559">
        <f>W16/($E$7/100)</f>
        <v>76.385533769229539</v>
      </c>
      <c r="Z16" s="411">
        <f>W16/Z$9</f>
        <v>0.30081155921488562</v>
      </c>
      <c r="AB16" s="156"/>
      <c r="AC16" s="157">
        <f>SUM(AC12:AC15)</f>
        <v>246630.45348363306</v>
      </c>
      <c r="AD16" s="559">
        <f>AC16/$E$6</f>
        <v>305.76723833788174</v>
      </c>
      <c r="AE16" s="559">
        <f>AC16/($E$7/100)</f>
        <v>82.031080280910132</v>
      </c>
      <c r="AF16" s="411">
        <f>AC16/AF$9</f>
        <v>0.2890253364717898</v>
      </c>
      <c r="AH16" s="156"/>
      <c r="AI16" s="157">
        <f>SUM(AI12:AI15)</f>
        <v>0</v>
      </c>
      <c r="AJ16" s="559">
        <f>AI16/$E$6</f>
        <v>0</v>
      </c>
      <c r="AK16" s="559">
        <f>AI16/($E$7/100)</f>
        <v>0</v>
      </c>
      <c r="AL16" s="411">
        <f>AI16/AL$9</f>
        <v>0</v>
      </c>
      <c r="AN16" s="156"/>
      <c r="AO16" s="157">
        <f>SUM(AO12:AO15)</f>
        <v>0</v>
      </c>
      <c r="AP16" s="559">
        <f>AO16/$E$6</f>
        <v>0</v>
      </c>
      <c r="AQ16" s="559">
        <f>AO16/($E$7/100)</f>
        <v>0</v>
      </c>
      <c r="AR16" s="411">
        <f>AO16/AR$9</f>
        <v>0</v>
      </c>
    </row>
    <row r="17" spans="1:44" ht="15.75" hidden="1">
      <c r="B17" s="28"/>
      <c r="C17" s="29"/>
      <c r="D17" s="29"/>
      <c r="E17" s="29"/>
      <c r="F17" s="29"/>
      <c r="G17" s="29"/>
      <c r="H17" s="20"/>
      <c r="J17" s="188"/>
      <c r="L17" s="29"/>
      <c r="M17" s="29"/>
      <c r="N17" s="142"/>
    </row>
    <row r="18" spans="1:44" ht="15.75" hidden="1">
      <c r="A18" s="21"/>
      <c r="B18" s="17">
        <v>2</v>
      </c>
      <c r="C18" s="18" t="s">
        <v>175</v>
      </c>
      <c r="D18" s="18" t="s">
        <v>65</v>
      </c>
      <c r="E18" s="18"/>
      <c r="F18" s="18" t="s">
        <v>66</v>
      </c>
      <c r="G18" s="68" t="s">
        <v>67</v>
      </c>
      <c r="H18" s="20"/>
      <c r="J18" s="184" t="s">
        <v>86</v>
      </c>
      <c r="L18" s="69" t="s">
        <v>278</v>
      </c>
      <c r="M18" s="69" t="s">
        <v>279</v>
      </c>
      <c r="N18" s="138" t="s">
        <v>83</v>
      </c>
      <c r="Q18" s="69" t="s">
        <v>67</v>
      </c>
      <c r="R18" s="69" t="s">
        <v>278</v>
      </c>
      <c r="S18" s="69" t="s">
        <v>279</v>
      </c>
      <c r="T18" s="138" t="s">
        <v>83</v>
      </c>
      <c r="W18" s="69" t="s">
        <v>67</v>
      </c>
      <c r="X18" s="69" t="s">
        <v>278</v>
      </c>
      <c r="Y18" s="69" t="s">
        <v>279</v>
      </c>
      <c r="Z18" s="138" t="s">
        <v>83</v>
      </c>
      <c r="AC18" s="69" t="s">
        <v>67</v>
      </c>
      <c r="AD18" s="69" t="s">
        <v>278</v>
      </c>
      <c r="AE18" s="69" t="s">
        <v>279</v>
      </c>
      <c r="AF18" s="138" t="s">
        <v>83</v>
      </c>
      <c r="AI18" s="69" t="s">
        <v>67</v>
      </c>
      <c r="AJ18" s="69" t="s">
        <v>278</v>
      </c>
      <c r="AK18" s="69" t="s">
        <v>279</v>
      </c>
      <c r="AL18" s="138" t="s">
        <v>83</v>
      </c>
      <c r="AO18" s="69" t="s">
        <v>67</v>
      </c>
      <c r="AP18" s="69" t="s">
        <v>278</v>
      </c>
      <c r="AQ18" s="69" t="s">
        <v>279</v>
      </c>
      <c r="AR18" s="138" t="s">
        <v>83</v>
      </c>
    </row>
    <row r="19" spans="1:44" ht="15.75" hidden="1">
      <c r="B19" s="22"/>
      <c r="C19" s="30" t="s">
        <v>282</v>
      </c>
      <c r="D19" s="30">
        <v>14.596026754967857</v>
      </c>
      <c r="E19" s="80"/>
      <c r="F19" s="81">
        <v>2528.5140449751352</v>
      </c>
      <c r="G19" s="72">
        <v>36906.258650769072</v>
      </c>
      <c r="H19" s="20"/>
      <c r="J19" s="185">
        <f t="shared" ref="J19:J24" si="10">IF($D$2=$L$2,L19,IF($D$2=$M$2,M19,IF($D$2=$N$2,N19,IF($D$2=$R$2,R19,IF($D$2=$S$2,S19,IF($D$2=$T$2,T19,IF($D$2=$X$2,X19,IF($D$2=$Y$2,Y19,IF($D$2=$Z$2,Z19,IF($D$2=$AD$2,AD19,IF($D$2=$AE$2,AE19,IF($D$2=$AF$2,AF19,IF($D$2=$AJ$2,AJ19,IF($D$2=$AK$2,AK19,IF($D$2=$AL$2,AL19,IF($D$2=$AP$2,AP19,IF($D$2=$AQ$2,AQ19,IF($D$2=$AR$2,AR19))))))))))))))))))</f>
        <v>53.229003079395298</v>
      </c>
      <c r="L19" s="74">
        <v>45.75560165272978</v>
      </c>
      <c r="M19" s="74">
        <v>12.275289703630134</v>
      </c>
      <c r="N19" s="139"/>
      <c r="P19" s="153">
        <v>1.1449</v>
      </c>
      <c r="Q19" s="137">
        <f>G19*P19</f>
        <v>42253.97552926551</v>
      </c>
      <c r="R19" s="544">
        <f t="shared" ref="R19:R25" si="11">Q19/$E$6</f>
        <v>52.385588332210325</v>
      </c>
      <c r="S19" s="544">
        <f t="shared" ref="S19:S25" si="12">Q19/($E$7/100)</f>
        <v>14.053979181686142</v>
      </c>
      <c r="V19" s="153">
        <f>42934.27/G19</f>
        <v>1.1633330380700972</v>
      </c>
      <c r="W19" s="137">
        <f t="shared" ref="W19:W23" si="13">G19*V19</f>
        <v>42934.26999999999</v>
      </c>
      <c r="X19" s="544">
        <f t="shared" ref="X19:X25" si="14">W19/$E$6</f>
        <v>53.229003079395298</v>
      </c>
      <c r="Y19" s="544">
        <f t="shared" ref="Y19:Y25" si="15">W19/($E$7/100)</f>
        <v>14.280250064114627</v>
      </c>
      <c r="AB19" s="153">
        <v>1.0831</v>
      </c>
      <c r="AC19" s="137">
        <f>W19*AB19</f>
        <v>46502.107836999989</v>
      </c>
      <c r="AD19" s="544">
        <f t="shared" ref="AD19:AD25" si="16">AC19/$E$6</f>
        <v>57.652333235293042</v>
      </c>
      <c r="AE19" s="544">
        <f t="shared" ref="AE19:AE25" si="17">AC19/($E$7/100)</f>
        <v>15.466938844442552</v>
      </c>
      <c r="AH19" s="153"/>
      <c r="AI19" s="137">
        <f>AC19*AH19</f>
        <v>0</v>
      </c>
      <c r="AJ19" s="544">
        <f t="shared" ref="AJ19:AJ25" si="18">AI19/$E$6</f>
        <v>0</v>
      </c>
      <c r="AK19" s="544">
        <f t="shared" ref="AK19:AK25" si="19">AI19/($E$7/100)</f>
        <v>0</v>
      </c>
      <c r="AN19" s="153"/>
      <c r="AO19" s="137">
        <f>AI19*AN19</f>
        <v>0</v>
      </c>
      <c r="AP19" s="544">
        <f t="shared" ref="AP19:AP25" si="20">AO19/$E$6</f>
        <v>0</v>
      </c>
      <c r="AQ19" s="544">
        <f t="shared" ref="AQ19:AQ25" si="21">AO19/($E$7/100)</f>
        <v>0</v>
      </c>
    </row>
    <row r="20" spans="1:44" ht="15.75" hidden="1">
      <c r="B20" s="24"/>
      <c r="C20" s="25" t="s">
        <v>353</v>
      </c>
      <c r="D20" s="25">
        <v>36.164321892222972</v>
      </c>
      <c r="E20" s="25"/>
      <c r="F20" s="25">
        <v>451.39155870864192</v>
      </c>
      <c r="G20" s="73">
        <v>16324.26962857159</v>
      </c>
      <c r="H20" s="20"/>
      <c r="J20" s="186">
        <f t="shared" si="10"/>
        <v>22.161141558230465</v>
      </c>
      <c r="L20" s="74">
        <v>20.238485441306363</v>
      </c>
      <c r="M20" s="74">
        <v>5.4295706532342107</v>
      </c>
      <c r="N20" s="140"/>
      <c r="P20" s="153">
        <v>1.0137</v>
      </c>
      <c r="Q20" s="137">
        <f>G20*P20</f>
        <v>16547.912122483023</v>
      </c>
      <c r="R20" s="544">
        <f t="shared" si="11"/>
        <v>20.51575269185226</v>
      </c>
      <c r="S20" s="544">
        <f t="shared" si="12"/>
        <v>5.5039557711835201</v>
      </c>
      <c r="V20" s="153">
        <v>1.095</v>
      </c>
      <c r="W20" s="137">
        <f t="shared" si="13"/>
        <v>17875.07524328589</v>
      </c>
      <c r="X20" s="544">
        <f t="shared" si="14"/>
        <v>22.161141558230465</v>
      </c>
      <c r="Y20" s="544">
        <f t="shared" si="15"/>
        <v>5.9453798652914598</v>
      </c>
      <c r="AB20" s="153">
        <v>1.1181000000000001</v>
      </c>
      <c r="AC20" s="137">
        <f t="shared" ref="AC20:AC24" si="22">W20*AB20</f>
        <v>19986.121629517955</v>
      </c>
      <c r="AD20" s="544">
        <f t="shared" si="16"/>
        <v>24.778372376257483</v>
      </c>
      <c r="AE20" s="544">
        <f t="shared" si="17"/>
        <v>6.6475292273823818</v>
      </c>
      <c r="AH20" s="153"/>
      <c r="AI20" s="137">
        <f t="shared" ref="AI20:AI24" si="23">AC20*AH20</f>
        <v>0</v>
      </c>
      <c r="AJ20" s="544">
        <f t="shared" si="18"/>
        <v>0</v>
      </c>
      <c r="AK20" s="544">
        <f t="shared" si="19"/>
        <v>0</v>
      </c>
      <c r="AN20" s="153"/>
      <c r="AO20" s="137">
        <f t="shared" ref="AO20:AO24" si="24">AI20*AN20</f>
        <v>0</v>
      </c>
      <c r="AP20" s="544">
        <f t="shared" si="20"/>
        <v>0</v>
      </c>
      <c r="AQ20" s="544">
        <f t="shared" si="21"/>
        <v>0</v>
      </c>
    </row>
    <row r="21" spans="1:44" ht="15.75" hidden="1">
      <c r="B21" s="24"/>
      <c r="C21" s="25" t="s">
        <v>177</v>
      </c>
      <c r="D21" s="25">
        <v>170.6675485478097</v>
      </c>
      <c r="E21" s="25"/>
      <c r="F21" s="25">
        <v>574.05877852280378</v>
      </c>
      <c r="G21" s="73">
        <v>97973.204452836944</v>
      </c>
      <c r="H21" s="20"/>
      <c r="J21" s="186">
        <f t="shared" si="10"/>
        <v>122.49966683252971</v>
      </c>
      <c r="L21" s="74">
        <v>121.4651140340405</v>
      </c>
      <c r="M21" s="74">
        <v>32.586599450023037</v>
      </c>
      <c r="N21" s="140"/>
      <c r="P21" s="153">
        <f>620.25/645.09</f>
        <v>0.96149374505882901</v>
      </c>
      <c r="Q21" s="137">
        <f>G21*P21</f>
        <v>94200.623264772541</v>
      </c>
      <c r="R21" s="544">
        <f t="shared" si="11"/>
        <v>116.78794738658733</v>
      </c>
      <c r="S21" s="544">
        <f t="shared" si="12"/>
        <v>31.331811543934631</v>
      </c>
      <c r="V21" s="153">
        <f>98807.67/G21</f>
        <v>1.0085172833921621</v>
      </c>
      <c r="W21" s="137">
        <f t="shared" si="13"/>
        <v>98807.67</v>
      </c>
      <c r="X21" s="544">
        <f t="shared" si="14"/>
        <v>122.49966683252971</v>
      </c>
      <c r="Y21" s="544">
        <f t="shared" si="15"/>
        <v>32.864148752325761</v>
      </c>
      <c r="AB21" s="153">
        <f>695.54/650.58</f>
        <v>1.0691075655568876</v>
      </c>
      <c r="AC21" s="137">
        <f t="shared" si="22"/>
        <v>105636.02753204831</v>
      </c>
      <c r="AD21" s="544">
        <f t="shared" si="16"/>
        <v>130.96532058885563</v>
      </c>
      <c r="AE21" s="544">
        <f t="shared" si="17"/>
        <v>35.135310066698416</v>
      </c>
      <c r="AH21" s="153"/>
      <c r="AI21" s="137">
        <f t="shared" si="23"/>
        <v>0</v>
      </c>
      <c r="AJ21" s="544">
        <f t="shared" si="18"/>
        <v>0</v>
      </c>
      <c r="AK21" s="544">
        <f t="shared" si="19"/>
        <v>0</v>
      </c>
      <c r="AN21" s="153"/>
      <c r="AO21" s="137">
        <f t="shared" si="24"/>
        <v>0</v>
      </c>
      <c r="AP21" s="544">
        <f t="shared" si="20"/>
        <v>0</v>
      </c>
      <c r="AQ21" s="544">
        <f t="shared" si="21"/>
        <v>0</v>
      </c>
    </row>
    <row r="22" spans="1:44" ht="15.75" hidden="1">
      <c r="B22" s="24"/>
      <c r="C22" s="25" t="s">
        <v>176</v>
      </c>
      <c r="D22" s="25">
        <v>277.54698444103269</v>
      </c>
      <c r="E22" s="25"/>
      <c r="F22" s="25">
        <v>217.00984713107295</v>
      </c>
      <c r="G22" s="73">
        <v>60230.428665238782</v>
      </c>
      <c r="H22" s="20"/>
      <c r="J22" s="186">
        <f t="shared" si="10"/>
        <v>81.259152760843065</v>
      </c>
      <c r="L22" s="74">
        <v>74.672416065192081</v>
      </c>
      <c r="M22" s="74">
        <v>20.033078070465105</v>
      </c>
      <c r="N22" s="140"/>
      <c r="P22" s="153">
        <f>236.04/208.03</f>
        <v>1.1346440417247512</v>
      </c>
      <c r="Q22" s="137">
        <f>G22*P22</f>
        <v>68340.097015540843</v>
      </c>
      <c r="R22" s="544">
        <f t="shared" si="11"/>
        <v>84.726611969561787</v>
      </c>
      <c r="S22" s="544">
        <f t="shared" si="12"/>
        <v>22.730412670060005</v>
      </c>
      <c r="V22" s="153">
        <f>226.38/208.03</f>
        <v>1.0882084314762293</v>
      </c>
      <c r="W22" s="137">
        <f t="shared" si="13"/>
        <v>65543.260304940413</v>
      </c>
      <c r="X22" s="544">
        <f t="shared" si="14"/>
        <v>81.259152760843065</v>
      </c>
      <c r="Y22" s="544">
        <f t="shared" si="15"/>
        <v>21.800164464701677</v>
      </c>
      <c r="AB22" s="153">
        <f>331.16/226.38</f>
        <v>1.4628500750949731</v>
      </c>
      <c r="AC22" s="137">
        <f t="shared" si="22"/>
        <v>95879.963259051452</v>
      </c>
      <c r="AD22" s="544">
        <f t="shared" si="16"/>
        <v>118.86995771835316</v>
      </c>
      <c r="AE22" s="544">
        <f t="shared" si="17"/>
        <v>31.890372224271612</v>
      </c>
      <c r="AH22" s="153"/>
      <c r="AI22" s="137">
        <f t="shared" si="23"/>
        <v>0</v>
      </c>
      <c r="AJ22" s="544">
        <f t="shared" si="18"/>
        <v>0</v>
      </c>
      <c r="AK22" s="544">
        <f t="shared" si="19"/>
        <v>0</v>
      </c>
      <c r="AN22" s="153"/>
      <c r="AO22" s="137">
        <f t="shared" si="24"/>
        <v>0</v>
      </c>
      <c r="AP22" s="544">
        <f t="shared" si="20"/>
        <v>0</v>
      </c>
      <c r="AQ22" s="544">
        <f t="shared" si="21"/>
        <v>0</v>
      </c>
    </row>
    <row r="23" spans="1:44" ht="15.75" hidden="1">
      <c r="B23" s="24"/>
      <c r="C23" s="25" t="s">
        <v>283</v>
      </c>
      <c r="D23" s="25">
        <v>5.749914300108637</v>
      </c>
      <c r="E23" s="25"/>
      <c r="F23" s="25">
        <v>230.7468238420897</v>
      </c>
      <c r="G23" s="73">
        <v>1326.7744621142801</v>
      </c>
      <c r="H23" s="20"/>
      <c r="J23" s="186">
        <f t="shared" si="10"/>
        <v>1.8541480237076164</v>
      </c>
      <c r="L23" s="74">
        <v>1.6449070155273182</v>
      </c>
      <c r="M23" s="74">
        <v>0.44129482340501197</v>
      </c>
      <c r="N23" s="140"/>
      <c r="P23" s="153">
        <f>244.79/215.95</f>
        <v>1.1335494327390601</v>
      </c>
      <c r="Q23" s="137">
        <f>G23*P23</f>
        <v>1503.9644389023138</v>
      </c>
      <c r="R23" s="544">
        <f t="shared" si="11"/>
        <v>1.8645834143594917</v>
      </c>
      <c r="S23" s="544">
        <f t="shared" si="12"/>
        <v>0.50022949674143502</v>
      </c>
      <c r="V23" s="153">
        <f>243.42/215.95</f>
        <v>1.1272053716137995</v>
      </c>
      <c r="W23" s="137">
        <f t="shared" si="13"/>
        <v>1495.547300615226</v>
      </c>
      <c r="X23" s="544">
        <f t="shared" si="14"/>
        <v>1.8541480237076164</v>
      </c>
      <c r="Y23" s="544">
        <f t="shared" si="15"/>
        <v>0.49742989540749255</v>
      </c>
      <c r="AB23" s="153">
        <f>312.9/243.42</f>
        <v>1.2854325856544244</v>
      </c>
      <c r="AC23" s="137">
        <f>(W23+W24)*AB23</f>
        <v>4075.595101780154</v>
      </c>
      <c r="AD23" s="544">
        <f t="shared" si="16"/>
        <v>5.0528369114701208</v>
      </c>
      <c r="AE23" s="544">
        <f t="shared" si="17"/>
        <v>1.3555725347956613</v>
      </c>
      <c r="AH23" s="153"/>
      <c r="AI23" s="137">
        <f t="shared" si="23"/>
        <v>0</v>
      </c>
      <c r="AJ23" s="544">
        <f t="shared" si="18"/>
        <v>0</v>
      </c>
      <c r="AK23" s="544">
        <f t="shared" si="19"/>
        <v>0</v>
      </c>
      <c r="AN23" s="153"/>
      <c r="AO23" s="137">
        <f t="shared" si="24"/>
        <v>0</v>
      </c>
      <c r="AP23" s="544">
        <f t="shared" si="20"/>
        <v>0</v>
      </c>
      <c r="AQ23" s="544">
        <f t="shared" si="21"/>
        <v>0</v>
      </c>
    </row>
    <row r="24" spans="1:44" ht="15.75" hidden="1">
      <c r="B24" s="24"/>
      <c r="C24" s="25" t="s">
        <v>284</v>
      </c>
      <c r="D24" s="25">
        <v>4.5025984823264071</v>
      </c>
      <c r="E24" s="25"/>
      <c r="F24" s="25">
        <v>330.03706644427058</v>
      </c>
      <c r="G24" s="73">
        <v>1486.0243944834324</v>
      </c>
      <c r="H24" s="20"/>
      <c r="J24" s="186">
        <f t="shared" si="10"/>
        <v>2.076697489204038</v>
      </c>
      <c r="L24" s="74">
        <v>1.8423417253866241</v>
      </c>
      <c r="M24" s="74">
        <v>0.49426250765642321</v>
      </c>
      <c r="N24" s="140"/>
      <c r="P24" s="154" t="s">
        <v>323</v>
      </c>
      <c r="Q24" s="137">
        <f>G24*P23</f>
        <v>1684.4821094030999</v>
      </c>
      <c r="R24" s="544">
        <f t="shared" si="11"/>
        <v>2.0883854177235088</v>
      </c>
      <c r="S24" s="544">
        <f t="shared" si="12"/>
        <v>0.56027098517812379</v>
      </c>
      <c r="V24" s="154" t="s">
        <v>354</v>
      </c>
      <c r="W24" s="137">
        <f>G24*V23</f>
        <v>1675.0546798108687</v>
      </c>
      <c r="X24" s="544">
        <f t="shared" si="14"/>
        <v>2.076697489204038</v>
      </c>
      <c r="Y24" s="544">
        <f t="shared" si="15"/>
        <v>0.55713535361762689</v>
      </c>
      <c r="AB24" s="153"/>
      <c r="AC24" s="137">
        <f t="shared" si="22"/>
        <v>0</v>
      </c>
      <c r="AD24" s="544">
        <f t="shared" si="16"/>
        <v>0</v>
      </c>
      <c r="AE24" s="544">
        <f t="shared" si="17"/>
        <v>0</v>
      </c>
      <c r="AH24" s="153"/>
      <c r="AI24" s="137">
        <f t="shared" si="23"/>
        <v>0</v>
      </c>
      <c r="AJ24" s="544">
        <f t="shared" si="18"/>
        <v>0</v>
      </c>
      <c r="AK24" s="544">
        <f t="shared" si="19"/>
        <v>0</v>
      </c>
      <c r="AN24" s="153"/>
      <c r="AO24" s="137">
        <f t="shared" si="24"/>
        <v>0</v>
      </c>
      <c r="AP24" s="544">
        <f t="shared" si="20"/>
        <v>0</v>
      </c>
      <c r="AQ24" s="544">
        <f t="shared" si="21"/>
        <v>0</v>
      </c>
    </row>
    <row r="25" spans="1:44" ht="15.75" hidden="1">
      <c r="B25" s="26"/>
      <c r="C25" s="27" t="s">
        <v>6</v>
      </c>
      <c r="D25" s="27"/>
      <c r="E25" s="83"/>
      <c r="F25" s="84"/>
      <c r="G25" s="77">
        <v>214246.96025401409</v>
      </c>
      <c r="H25" s="85"/>
      <c r="J25" s="187">
        <f>IF($D$2=$L$2,L25,IF($D$2=$M$2,M25,IF($D$2=$N$2,N25,IF($D$2=$R$2,R25,IF($D$2=$S$2,S25,IF($D$2=$T$2,T25,IF($D$2=$X$2,X25,IF($D$2=$Y$2,Y25,IF($D$2=$Z$2,Z25,IF($D$2=$AD$2,AD25,IF($D$2=$AE$2,AE25,IF($D$2=$AF$2,AF25,IF($D$2=$AJ$2,AJ25,IF($D$2=$AK$2,AK25,IF($D$2=$AL$2,AL25,IF($D$2=$AP$2,AP25,IF($D$2=$AQ$2,AQ25,IF($D$2=$AR$2,AR25))))))))))))))))))</f>
        <v>283.07980974391012</v>
      </c>
      <c r="L25" s="79">
        <v>265.61886593418268</v>
      </c>
      <c r="M25" s="79">
        <v>71.260095208413929</v>
      </c>
      <c r="N25" s="203">
        <f>G25/$N$9</f>
        <v>0.29774819279858822</v>
      </c>
      <c r="P25" s="156"/>
      <c r="Q25" s="157">
        <f>SUM(Q19:Q24)</f>
        <v>224531.05448036731</v>
      </c>
      <c r="R25" s="559">
        <f t="shared" si="11"/>
        <v>278.36886921229467</v>
      </c>
      <c r="S25" s="559">
        <f t="shared" si="12"/>
        <v>74.680659648783845</v>
      </c>
      <c r="T25" s="411">
        <f>Q25/T$9</f>
        <v>0.30039616943671726</v>
      </c>
      <c r="V25" s="156"/>
      <c r="W25" s="157">
        <f>SUM(W19:W24)</f>
        <v>228330.87752865235</v>
      </c>
      <c r="X25" s="559">
        <f t="shared" si="14"/>
        <v>283.07980974391012</v>
      </c>
      <c r="Y25" s="559">
        <f t="shared" si="15"/>
        <v>75.944508395458627</v>
      </c>
      <c r="Z25" s="411">
        <f>W25/Z$9</f>
        <v>0.29907477053526271</v>
      </c>
      <c r="AB25" s="156"/>
      <c r="AC25" s="157">
        <f>SUM(AC19:AC23)</f>
        <v>272079.81535939785</v>
      </c>
      <c r="AD25" s="559">
        <f t="shared" si="16"/>
        <v>337.31882083022947</v>
      </c>
      <c r="AE25" s="559">
        <f t="shared" si="17"/>
        <v>90.495722897590625</v>
      </c>
      <c r="AF25" s="411">
        <f>AC25/AF$9</f>
        <v>0.31884935161363193</v>
      </c>
      <c r="AH25" s="156"/>
      <c r="AI25" s="157">
        <f>SUM(AI19:AI22)</f>
        <v>0</v>
      </c>
      <c r="AJ25" s="559">
        <f t="shared" si="18"/>
        <v>0</v>
      </c>
      <c r="AK25" s="559">
        <f t="shared" si="19"/>
        <v>0</v>
      </c>
      <c r="AL25" s="411">
        <f>AI25/AL$9</f>
        <v>0</v>
      </c>
      <c r="AN25" s="156"/>
      <c r="AO25" s="157">
        <f>SUM(AO19:AO22)</f>
        <v>0</v>
      </c>
      <c r="AP25" s="559">
        <f t="shared" si="20"/>
        <v>0</v>
      </c>
      <c r="AQ25" s="559">
        <f t="shared" si="21"/>
        <v>0</v>
      </c>
      <c r="AR25" s="411">
        <f>AO25/AR$9</f>
        <v>0</v>
      </c>
    </row>
    <row r="26" spans="1:44" ht="15.75" hidden="1">
      <c r="B26" s="28"/>
      <c r="C26" s="29"/>
      <c r="D26" s="29"/>
      <c r="E26" s="29"/>
      <c r="F26" s="29"/>
      <c r="G26" s="29"/>
      <c r="H26" s="20"/>
      <c r="J26" s="188"/>
      <c r="L26" s="29"/>
      <c r="M26" s="29"/>
      <c r="N26" s="142"/>
    </row>
    <row r="27" spans="1:44" ht="15.75" hidden="1">
      <c r="A27" s="21"/>
      <c r="B27" s="17">
        <v>3</v>
      </c>
      <c r="C27" s="18" t="s">
        <v>179</v>
      </c>
      <c r="D27" s="18"/>
      <c r="E27" s="18"/>
      <c r="F27" s="18"/>
      <c r="G27" s="68" t="s">
        <v>67</v>
      </c>
      <c r="H27" s="20"/>
      <c r="J27" s="184" t="s">
        <v>86</v>
      </c>
      <c r="L27" s="69" t="s">
        <v>278</v>
      </c>
      <c r="M27" s="69" t="s">
        <v>279</v>
      </c>
      <c r="N27" s="138" t="s">
        <v>83</v>
      </c>
      <c r="Q27" s="69" t="s">
        <v>67</v>
      </c>
      <c r="R27" s="69" t="s">
        <v>278</v>
      </c>
      <c r="S27" s="69" t="s">
        <v>279</v>
      </c>
      <c r="T27" s="138" t="s">
        <v>83</v>
      </c>
      <c r="W27" s="69" t="s">
        <v>67</v>
      </c>
      <c r="X27" s="69" t="s">
        <v>278</v>
      </c>
      <c r="Y27" s="69" t="s">
        <v>279</v>
      </c>
      <c r="Z27" s="138" t="s">
        <v>83</v>
      </c>
      <c r="AC27" s="69" t="s">
        <v>67</v>
      </c>
      <c r="AD27" s="69" t="s">
        <v>278</v>
      </c>
      <c r="AE27" s="69" t="s">
        <v>279</v>
      </c>
      <c r="AF27" s="138" t="s">
        <v>83</v>
      </c>
      <c r="AI27" s="69" t="s">
        <v>67</v>
      </c>
      <c r="AJ27" s="69" t="s">
        <v>278</v>
      </c>
      <c r="AK27" s="69" t="s">
        <v>279</v>
      </c>
      <c r="AL27" s="138" t="s">
        <v>83</v>
      </c>
      <c r="AO27" s="69" t="s">
        <v>67</v>
      </c>
      <c r="AP27" s="69" t="s">
        <v>278</v>
      </c>
      <c r="AQ27" s="69" t="s">
        <v>279</v>
      </c>
      <c r="AR27" s="138" t="s">
        <v>83</v>
      </c>
    </row>
    <row r="28" spans="1:44" ht="15.75" hidden="1">
      <c r="B28" s="22"/>
      <c r="C28" s="30" t="s">
        <v>180</v>
      </c>
      <c r="D28" s="30"/>
      <c r="E28" s="86"/>
      <c r="F28" s="80"/>
      <c r="G28" s="72">
        <v>28047.852850379088</v>
      </c>
      <c r="H28" s="82"/>
      <c r="J28" s="185">
        <f t="shared" ref="J28:J30" si="25">IF($D$2=$L$2,L28,IF($D$2=$M$2,M28,IF($D$2=$N$2,N28,IF($D$2=$R$2,R28,IF($D$2=$S$2,S28,IF($D$2=$T$2,T28,IF($D$2=$X$2,X28,IF($D$2=$Y$2,Y28,IF($D$2=$Z$2,Z28,IF($D$2=$AD$2,AD28,IF($D$2=$AE$2,AE28,IF($D$2=$AF$2,AF28,IF($D$2=$AJ$2,AJ28,IF($D$2=$AK$2,AK28,IF($D$2=$AL$2,AL28,IF($D$2=$AP$2,AP28,IF($D$2=$AQ$2,AQ28,IF($D$2=$AR$2,AR28))))))))))))))))))</f>
        <v>38.97390102904729</v>
      </c>
      <c r="L28" s="74">
        <v>34.773136837851325</v>
      </c>
      <c r="M28" s="74">
        <v>9.3289195895237924</v>
      </c>
      <c r="N28" s="139"/>
      <c r="P28" s="153">
        <f>102.4/101.7</f>
        <v>1.0068829891838742</v>
      </c>
      <c r="Q28" s="137">
        <f>G28*P28</f>
        <v>28240.905918179142</v>
      </c>
      <c r="R28" s="544">
        <f>Q28/$E$6</f>
        <v>35.012479962595634</v>
      </c>
      <c r="S28" s="544">
        <f>Q28/($E$7/100)</f>
        <v>9.3931304421557176</v>
      </c>
      <c r="W28" s="597">
        <v>31436.17</v>
      </c>
      <c r="X28" s="544">
        <f>W28/$E$6</f>
        <v>38.97390102904729</v>
      </c>
      <c r="Y28" s="544">
        <f>W28/($E$7/100)</f>
        <v>10.455898485243104</v>
      </c>
      <c r="AB28" s="153">
        <f>AC28/W28</f>
        <v>1.0169998444466997</v>
      </c>
      <c r="AC28" s="137">
        <v>31970.58</v>
      </c>
      <c r="AD28" s="544">
        <f>AC28/$E$6</f>
        <v>39.636451284022158</v>
      </c>
      <c r="AE28" s="544">
        <f>AC28/($E$7/100)</f>
        <v>10.633647133042718</v>
      </c>
      <c r="AH28" s="153"/>
      <c r="AI28" s="137">
        <f>AC28*AH28</f>
        <v>0</v>
      </c>
      <c r="AJ28" s="544">
        <f>AI28/$E$6</f>
        <v>0</v>
      </c>
      <c r="AK28" s="544">
        <f>AI28/($E$7/100)</f>
        <v>0</v>
      </c>
      <c r="AN28" s="153"/>
      <c r="AO28" s="137">
        <f>AI28*AN28</f>
        <v>0</v>
      </c>
      <c r="AP28" s="544">
        <f>AO28/$E$6</f>
        <v>0</v>
      </c>
      <c r="AQ28" s="544">
        <f>AO28/($E$7/100)</f>
        <v>0</v>
      </c>
    </row>
    <row r="29" spans="1:44" ht="15.75" hidden="1">
      <c r="B29" s="24"/>
      <c r="C29" s="25" t="s">
        <v>285</v>
      </c>
      <c r="D29" s="25"/>
      <c r="E29" s="87"/>
      <c r="F29" s="82"/>
      <c r="G29" s="73">
        <v>375.44673869047625</v>
      </c>
      <c r="H29" s="82"/>
      <c r="J29" s="186">
        <f t="shared" si="25"/>
        <v>0</v>
      </c>
      <c r="L29" s="74">
        <v>0.46547095385351345</v>
      </c>
      <c r="M29" s="74">
        <v>0.12487631242493007</v>
      </c>
      <c r="N29" s="140"/>
      <c r="P29" s="153">
        <f>1/1</f>
        <v>1</v>
      </c>
      <c r="Q29" s="137">
        <f>G29*P29</f>
        <v>375.44673869047625</v>
      </c>
      <c r="R29" s="544">
        <f>Q29/$E$6</f>
        <v>0.46547095385351345</v>
      </c>
      <c r="S29" s="544">
        <f>Q29/($E$7/100)</f>
        <v>0.12487631242493007</v>
      </c>
      <c r="W29" s="137"/>
      <c r="X29" s="544">
        <f>W29/$E$6</f>
        <v>0</v>
      </c>
      <c r="Y29" s="544">
        <f>W29/($E$7/100)</f>
        <v>0</v>
      </c>
      <c r="AB29" s="153"/>
      <c r="AC29" s="137">
        <f>W29*AB29</f>
        <v>0</v>
      </c>
      <c r="AD29" s="544">
        <f>AC29/$E$6</f>
        <v>0</v>
      </c>
      <c r="AE29" s="544">
        <f>AC29/($E$7/100)</f>
        <v>0</v>
      </c>
      <c r="AH29" s="153"/>
      <c r="AI29" s="137">
        <f>AC29*AH29</f>
        <v>0</v>
      </c>
      <c r="AJ29" s="544">
        <f>AI29/$E$6</f>
        <v>0</v>
      </c>
      <c r="AK29" s="544">
        <f>AI29/($E$7/100)</f>
        <v>0</v>
      </c>
      <c r="AN29" s="153"/>
      <c r="AO29" s="137">
        <f>AI29*AN29</f>
        <v>0</v>
      </c>
      <c r="AP29" s="544">
        <f>AO29/$E$6</f>
        <v>0</v>
      </c>
      <c r="AQ29" s="544">
        <f>AO29/($E$7/100)</f>
        <v>0</v>
      </c>
    </row>
    <row r="30" spans="1:44" ht="15.75" hidden="1">
      <c r="B30" s="26"/>
      <c r="C30" s="27" t="s">
        <v>6</v>
      </c>
      <c r="D30" s="27"/>
      <c r="E30" s="88"/>
      <c r="F30" s="84"/>
      <c r="G30" s="77">
        <v>28423.299589069564</v>
      </c>
      <c r="H30" s="89"/>
      <c r="J30" s="187">
        <f t="shared" si="25"/>
        <v>38.97390102904729</v>
      </c>
      <c r="L30" s="79">
        <v>35.238607791704837</v>
      </c>
      <c r="M30" s="79">
        <v>9.4537959019487232</v>
      </c>
      <c r="N30" s="203">
        <f>G30/$N$9</f>
        <v>3.950107892305444E-2</v>
      </c>
      <c r="P30" s="156"/>
      <c r="Q30" s="157">
        <f>SUM(Q28:Q29)</f>
        <v>28616.352656869618</v>
      </c>
      <c r="R30" s="559">
        <f>Q30/$E$6</f>
        <v>35.477950916449146</v>
      </c>
      <c r="S30" s="559">
        <f>Q30/($E$7/100)</f>
        <v>9.5180067545806466</v>
      </c>
      <c r="T30" s="411">
        <f>Q30/T$9</f>
        <v>3.8285317553369898E-2</v>
      </c>
      <c r="V30" s="156"/>
      <c r="W30" s="157">
        <f>SUM(W28:W29)</f>
        <v>31436.17</v>
      </c>
      <c r="X30" s="559">
        <f>W30/$E$6</f>
        <v>38.97390102904729</v>
      </c>
      <c r="Y30" s="559">
        <f>W30/($E$7/100)</f>
        <v>10.455898485243104</v>
      </c>
      <c r="Z30" s="411">
        <f>W30/Z$9</f>
        <v>4.1176057443556742E-2</v>
      </c>
      <c r="AB30" s="156"/>
      <c r="AC30" s="157">
        <f>SUM(AC28:AC29)</f>
        <v>31970.58</v>
      </c>
      <c r="AD30" s="559">
        <f>AC30/$E$6</f>
        <v>39.636451284022158</v>
      </c>
      <c r="AE30" s="559">
        <f>AC30/($E$7/100)</f>
        <v>10.633647133042718</v>
      </c>
      <c r="AF30" s="411">
        <f>AC30/AF$9</f>
        <v>3.7466207076943488E-2</v>
      </c>
      <c r="AH30" s="156"/>
      <c r="AI30" s="157">
        <f>SUM(AI28:AI29)</f>
        <v>0</v>
      </c>
      <c r="AJ30" s="559">
        <f>AI30/$E$6</f>
        <v>0</v>
      </c>
      <c r="AK30" s="559">
        <f>AI30/($E$7/100)</f>
        <v>0</v>
      </c>
      <c r="AL30" s="411">
        <f>AI30/AL$9</f>
        <v>0</v>
      </c>
      <c r="AN30" s="156"/>
      <c r="AO30" s="157">
        <f>SUM(AO28:AO29)</f>
        <v>0</v>
      </c>
      <c r="AP30" s="559">
        <f>AO30/$E$6</f>
        <v>0</v>
      </c>
      <c r="AQ30" s="559">
        <f>AO30/($E$7/100)</f>
        <v>0</v>
      </c>
      <c r="AR30" s="411">
        <f>AO30/AR$9</f>
        <v>0</v>
      </c>
    </row>
    <row r="31" spans="1:44" ht="15.75" hidden="1">
      <c r="B31" s="28"/>
      <c r="C31" s="29"/>
      <c r="D31" s="29"/>
      <c r="E31" s="29"/>
      <c r="F31" s="29"/>
      <c r="G31" s="29"/>
      <c r="H31" s="90"/>
      <c r="J31" s="188"/>
      <c r="L31" s="29"/>
      <c r="M31" s="29"/>
      <c r="N31" s="142"/>
    </row>
    <row r="32" spans="1:44" ht="15.75" hidden="1">
      <c r="A32" s="21"/>
      <c r="B32" s="17">
        <v>4</v>
      </c>
      <c r="C32" s="18" t="s">
        <v>178</v>
      </c>
      <c r="D32" s="18"/>
      <c r="E32" s="18"/>
      <c r="F32" s="18"/>
      <c r="G32" s="68" t="s">
        <v>67</v>
      </c>
      <c r="H32" s="91"/>
      <c r="J32" s="184" t="s">
        <v>86</v>
      </c>
      <c r="L32" s="69" t="s">
        <v>278</v>
      </c>
      <c r="M32" s="69" t="s">
        <v>279</v>
      </c>
      <c r="N32" s="138" t="s">
        <v>83</v>
      </c>
      <c r="Q32" s="69" t="s">
        <v>67</v>
      </c>
      <c r="R32" s="69" t="s">
        <v>278</v>
      </c>
      <c r="S32" s="69" t="s">
        <v>279</v>
      </c>
      <c r="T32" s="138" t="s">
        <v>83</v>
      </c>
      <c r="W32" s="69" t="s">
        <v>67</v>
      </c>
      <c r="X32" s="69" t="s">
        <v>278</v>
      </c>
      <c r="Y32" s="69" t="s">
        <v>279</v>
      </c>
      <c r="Z32" s="138" t="s">
        <v>83</v>
      </c>
      <c r="AC32" s="69" t="s">
        <v>67</v>
      </c>
      <c r="AD32" s="69" t="s">
        <v>278</v>
      </c>
      <c r="AE32" s="69" t="s">
        <v>279</v>
      </c>
      <c r="AF32" s="138" t="s">
        <v>83</v>
      </c>
      <c r="AI32" s="69" t="s">
        <v>67</v>
      </c>
      <c r="AJ32" s="69" t="s">
        <v>278</v>
      </c>
      <c r="AK32" s="69" t="s">
        <v>279</v>
      </c>
      <c r="AL32" s="138" t="s">
        <v>83</v>
      </c>
      <c r="AO32" s="69" t="s">
        <v>67</v>
      </c>
      <c r="AP32" s="69" t="s">
        <v>278</v>
      </c>
      <c r="AQ32" s="69" t="s">
        <v>279</v>
      </c>
      <c r="AR32" s="138" t="s">
        <v>83</v>
      </c>
    </row>
    <row r="33" spans="1:44" ht="15.75" hidden="1">
      <c r="B33" s="22"/>
      <c r="C33" s="30" t="s">
        <v>286</v>
      </c>
      <c r="D33" s="30"/>
      <c r="E33" s="80"/>
      <c r="F33" s="81"/>
      <c r="G33" s="92">
        <v>7740.258570972469</v>
      </c>
      <c r="H33" s="82"/>
      <c r="J33" s="189">
        <f t="shared" ref="J33:J35" si="26">IF($D$2=$L$2,L33,IF($D$2=$M$2,M33,IF($D$2=$N$2,N33,IF($D$2=$R$2,R33,IF($D$2=$S$2,S33,IF($D$2=$T$2,T33,IF($D$2=$X$2,X33,IF($D$2=$Y$2,Y33,IF($D$2=$Z$2,Z33,IF($D$2=$AD$2,AD33,IF($D$2=$AE$2,AE33,IF($D$2=$AF$2,AF33,IF($D$2=$AJ$2,AJ33,IF($D$2=$AK$2,AK33,IF($D$2=$AL$2,AL33,IF($D$2=$AP$2,AP33,IF($D$2=$AQ$2,AQ33,IF($D$2=$AR$2,AR33))))))))))))))))))</f>
        <v>10.181578221674565</v>
      </c>
      <c r="L33" s="74">
        <v>9.5962094454991202</v>
      </c>
      <c r="M33" s="74">
        <v>2.5744662237041278</v>
      </c>
      <c r="N33" s="139"/>
      <c r="P33" s="153">
        <v>1.0392999999999999</v>
      </c>
      <c r="Q33" s="137">
        <f>G33*P33</f>
        <v>8044.4507328116861</v>
      </c>
      <c r="R33" s="544">
        <f t="shared" ref="R33:R35" si="27">Q33/$E$6</f>
        <v>9.973340476707234</v>
      </c>
      <c r="S33" s="544">
        <f t="shared" ref="S33:S35" si="28">Q33/($E$7/100)</f>
        <v>2.6756427462956998</v>
      </c>
      <c r="V33" s="153">
        <v>1.0609999999999999</v>
      </c>
      <c r="W33" s="137">
        <f>G33*V33</f>
        <v>8212.4143438017891</v>
      </c>
      <c r="X33" s="544">
        <f t="shared" ref="X33:X35" si="29">W33/$E$6</f>
        <v>10.181578221674565</v>
      </c>
      <c r="Y33" s="544">
        <f t="shared" ref="Y33:Y35" si="30">W33/($E$7/100)</f>
        <v>2.7315086633500791</v>
      </c>
      <c r="AB33" s="153">
        <v>1.0078</v>
      </c>
      <c r="AC33" s="137">
        <f>W33*AB33</f>
        <v>8276.471175683444</v>
      </c>
      <c r="AD33" s="544">
        <f t="shared" ref="AD33:AD35" si="31">AC33/$E$6</f>
        <v>10.260994531803627</v>
      </c>
      <c r="AE33" s="544">
        <f t="shared" ref="AE33:AE35" si="32">AC33/($E$7/100)</f>
        <v>2.7528144309242104</v>
      </c>
      <c r="AH33" s="153"/>
      <c r="AI33" s="137">
        <f>AC33*AH33</f>
        <v>0</v>
      </c>
      <c r="AJ33" s="544">
        <f t="shared" ref="AJ33:AJ35" si="33">AI33/$E$6</f>
        <v>0</v>
      </c>
      <c r="AK33" s="544">
        <f t="shared" ref="AK33:AK35" si="34">AI33/($E$7/100)</f>
        <v>0</v>
      </c>
      <c r="AN33" s="153"/>
      <c r="AO33" s="137">
        <f>AI33*AN33</f>
        <v>0</v>
      </c>
      <c r="AP33" s="544">
        <f t="shared" ref="AP33:AP35" si="35">AO33/$E$6</f>
        <v>0</v>
      </c>
      <c r="AQ33" s="544">
        <f t="shared" ref="AQ33:AQ35" si="36">AO33/($E$7/100)</f>
        <v>0</v>
      </c>
    </row>
    <row r="34" spans="1:44" ht="15.75" hidden="1">
      <c r="B34" s="24"/>
      <c r="C34" s="25" t="s">
        <v>287</v>
      </c>
      <c r="D34" s="25">
        <v>5.0203779761904768</v>
      </c>
      <c r="E34" s="82"/>
      <c r="F34" s="20">
        <v>98.274032858765707</v>
      </c>
      <c r="G34" s="404">
        <v>493.37279019556661</v>
      </c>
      <c r="H34" s="82"/>
      <c r="J34" s="186">
        <f t="shared" si="26"/>
        <v>0.86435166753038539</v>
      </c>
      <c r="L34" s="74">
        <v>0.61167318714420138</v>
      </c>
      <c r="M34" s="74">
        <v>0.16409937373624039</v>
      </c>
      <c r="N34" s="140"/>
      <c r="P34" s="153">
        <f>192.54/163.74</f>
        <v>1.1758886038842065</v>
      </c>
      <c r="Q34" s="137">
        <f>G34*P34</f>
        <v>580.15144145752038</v>
      </c>
      <c r="R34" s="544">
        <f t="shared" si="27"/>
        <v>0.71925953006439791</v>
      </c>
      <c r="S34" s="544">
        <f t="shared" si="28"/>
        <v>0.19296258348098036</v>
      </c>
      <c r="V34" s="153">
        <f>231.38/163.74</f>
        <v>1.4130939294002687</v>
      </c>
      <c r="W34" s="137">
        <f>G34*V34</f>
        <v>697.18209475662752</v>
      </c>
      <c r="X34" s="544">
        <f t="shared" si="29"/>
        <v>0.86435166753038539</v>
      </c>
      <c r="Y34" s="544">
        <f t="shared" si="30"/>
        <v>0.23188782884506717</v>
      </c>
      <c r="AB34" s="153">
        <f>213.46/231.38</f>
        <v>0.92255164664188782</v>
      </c>
      <c r="AC34" s="137">
        <f>W34*AB34</f>
        <v>643.18648952696742</v>
      </c>
      <c r="AD34" s="544">
        <f t="shared" si="31"/>
        <v>0.7974090541578186</v>
      </c>
      <c r="AE34" s="544">
        <f t="shared" si="32"/>
        <v>0.21392849833722899</v>
      </c>
      <c r="AH34" s="153"/>
      <c r="AI34" s="137">
        <f>AC34*AH34</f>
        <v>0</v>
      </c>
      <c r="AJ34" s="544">
        <f t="shared" si="33"/>
        <v>0</v>
      </c>
      <c r="AK34" s="544">
        <f t="shared" si="34"/>
        <v>0</v>
      </c>
      <c r="AN34" s="153"/>
      <c r="AO34" s="137">
        <f>AI34*AN34</f>
        <v>0</v>
      </c>
      <c r="AP34" s="544">
        <f t="shared" si="35"/>
        <v>0</v>
      </c>
      <c r="AQ34" s="544">
        <f t="shared" si="36"/>
        <v>0</v>
      </c>
    </row>
    <row r="35" spans="1:44" ht="15.75" hidden="1">
      <c r="B35" s="31"/>
      <c r="C35" s="27" t="s">
        <v>6</v>
      </c>
      <c r="D35" s="27"/>
      <c r="E35" s="93"/>
      <c r="F35" s="94"/>
      <c r="G35" s="77">
        <v>8233.6313611680362</v>
      </c>
      <c r="H35" s="89"/>
      <c r="J35" s="187">
        <f t="shared" si="26"/>
        <v>11.045929889204949</v>
      </c>
      <c r="L35" s="79">
        <v>10.207882632643322</v>
      </c>
      <c r="M35" s="79">
        <v>2.7385655974403682</v>
      </c>
      <c r="N35" s="203">
        <f>G35/$N$9</f>
        <v>1.1442630761486527E-2</v>
      </c>
      <c r="P35" s="156"/>
      <c r="Q35" s="157">
        <f>SUM(Q33:Q34)</f>
        <v>8624.6021742692064</v>
      </c>
      <c r="R35" s="559">
        <f t="shared" si="27"/>
        <v>10.692600006771631</v>
      </c>
      <c r="S35" s="559">
        <f t="shared" si="28"/>
        <v>2.8686053297766798</v>
      </c>
      <c r="T35" s="411">
        <f>Q35/T$9</f>
        <v>1.1538704354557727E-2</v>
      </c>
      <c r="V35" s="156"/>
      <c r="W35" s="157">
        <f>SUM(W33:W34)</f>
        <v>8909.5964385584157</v>
      </c>
      <c r="X35" s="559">
        <f t="shared" si="29"/>
        <v>11.045929889204949</v>
      </c>
      <c r="Y35" s="559">
        <f t="shared" si="30"/>
        <v>2.9633964921951463</v>
      </c>
      <c r="Z35" s="411">
        <f>W35/Z$9</f>
        <v>1.1670062057591302E-2</v>
      </c>
      <c r="AB35" s="156"/>
      <c r="AC35" s="157">
        <f>SUM(AC33:AC34)</f>
        <v>8919.6576652104122</v>
      </c>
      <c r="AD35" s="559">
        <f t="shared" si="31"/>
        <v>11.058403585961447</v>
      </c>
      <c r="AE35" s="559">
        <f t="shared" si="32"/>
        <v>2.9667429292614393</v>
      </c>
      <c r="AF35" s="411">
        <f>AC35/AF$9</f>
        <v>1.04529145589545E-2</v>
      </c>
      <c r="AH35" s="156"/>
      <c r="AI35" s="157">
        <f>SUM(AI33:AI34)</f>
        <v>0</v>
      </c>
      <c r="AJ35" s="559">
        <f t="shared" si="33"/>
        <v>0</v>
      </c>
      <c r="AK35" s="559">
        <f t="shared" si="34"/>
        <v>0</v>
      </c>
      <c r="AL35" s="411">
        <f>AI35/AL$9</f>
        <v>0</v>
      </c>
      <c r="AN35" s="156"/>
      <c r="AO35" s="157">
        <f>SUM(AO33:AO34)</f>
        <v>0</v>
      </c>
      <c r="AP35" s="559">
        <f t="shared" si="35"/>
        <v>0</v>
      </c>
      <c r="AQ35" s="559">
        <f t="shared" si="36"/>
        <v>0</v>
      </c>
      <c r="AR35" s="411">
        <f>AO35/AR$9</f>
        <v>0</v>
      </c>
    </row>
    <row r="36" spans="1:44" ht="15.75" hidden="1">
      <c r="B36" s="32"/>
      <c r="C36" s="33"/>
      <c r="D36" s="33"/>
      <c r="E36" s="33"/>
      <c r="F36" s="33"/>
      <c r="G36" s="33"/>
      <c r="H36" s="90"/>
      <c r="J36" s="190"/>
      <c r="L36" s="33"/>
      <c r="M36" s="33"/>
      <c r="N36" s="143"/>
    </row>
    <row r="37" spans="1:44" ht="15.75" hidden="1">
      <c r="A37" s="21"/>
      <c r="B37" s="17">
        <v>5</v>
      </c>
      <c r="C37" s="18" t="s">
        <v>319</v>
      </c>
      <c r="D37" s="18"/>
      <c r="E37" s="18"/>
      <c r="F37" s="18"/>
      <c r="G37" s="68" t="s">
        <v>67</v>
      </c>
      <c r="H37" s="91"/>
      <c r="J37" s="184" t="s">
        <v>86</v>
      </c>
      <c r="L37" s="69" t="s">
        <v>278</v>
      </c>
      <c r="M37" s="69" t="s">
        <v>279</v>
      </c>
      <c r="N37" s="138" t="s">
        <v>83</v>
      </c>
      <c r="Q37" s="69" t="s">
        <v>67</v>
      </c>
      <c r="R37" s="69" t="s">
        <v>278</v>
      </c>
      <c r="S37" s="69" t="s">
        <v>279</v>
      </c>
      <c r="T37" s="138" t="s">
        <v>83</v>
      </c>
      <c r="W37" s="69" t="s">
        <v>67</v>
      </c>
      <c r="X37" s="69" t="s">
        <v>278</v>
      </c>
      <c r="Y37" s="69" t="s">
        <v>279</v>
      </c>
      <c r="Z37" s="138" t="s">
        <v>83</v>
      </c>
      <c r="AC37" s="69" t="s">
        <v>67</v>
      </c>
      <c r="AD37" s="69" t="s">
        <v>278</v>
      </c>
      <c r="AE37" s="69" t="s">
        <v>279</v>
      </c>
      <c r="AF37" s="138" t="s">
        <v>83</v>
      </c>
      <c r="AI37" s="69" t="s">
        <v>67</v>
      </c>
      <c r="AJ37" s="69" t="s">
        <v>278</v>
      </c>
      <c r="AK37" s="69" t="s">
        <v>279</v>
      </c>
      <c r="AL37" s="138" t="s">
        <v>83</v>
      </c>
      <c r="AO37" s="69" t="s">
        <v>67</v>
      </c>
      <c r="AP37" s="69" t="s">
        <v>278</v>
      </c>
      <c r="AQ37" s="69" t="s">
        <v>279</v>
      </c>
      <c r="AR37" s="138" t="s">
        <v>83</v>
      </c>
    </row>
    <row r="38" spans="1:44" ht="15.75" hidden="1">
      <c r="B38" s="22"/>
      <c r="C38" s="568" t="s">
        <v>288</v>
      </c>
      <c r="D38" s="30">
        <v>579.96797428465015</v>
      </c>
      <c r="E38" s="80"/>
      <c r="F38" s="81">
        <v>14.966851198453851</v>
      </c>
      <c r="G38" s="72">
        <v>8680.2943709870688</v>
      </c>
      <c r="H38" s="82"/>
      <c r="J38" s="185">
        <f t="shared" ref="J38:J47" si="37">IF($D$2=$L$2,L38,IF($D$2=$M$2,M38,IF($D$2=$N$2,N38,IF($D$2=$R$2,R38,IF($D$2=$S$2,S38,IF($D$2=$T$2,T38,IF($D$2=$X$2,X38,IF($D$2=$Y$2,Y38,IF($D$2=$Z$2,Z38,IF($D$2=$AD$2,AD38,IF($D$2=$AE$2,AE38,IF($D$2=$AF$2,AF38,IF($D$2=$AJ$2,AJ38,IF($D$2=$AK$2,AK38,IF($D$2=$AL$2,AL38,IF($D$2=$AP$2,AP38,IF($D$2=$AQ$2,AQ38,IF($D$2=$AR$2,AR38))))))))))))))))))</f>
        <v>10.945276653735217</v>
      </c>
      <c r="L38" s="74">
        <v>10.761646018514543</v>
      </c>
      <c r="M38" s="74">
        <v>2.8871289589370437</v>
      </c>
      <c r="N38" s="139"/>
      <c r="P38" s="153">
        <f>136.8/134.2</f>
        <v>1.0193740685543966</v>
      </c>
      <c r="Q38" s="137">
        <f t="shared" ref="Q38:Q46" si="38">G38*P38</f>
        <v>8848.466989202916</v>
      </c>
      <c r="R38" s="544">
        <f t="shared" ref="R38:R47" si="39">Q38/$E$6</f>
        <v>10.970142886235395</v>
      </c>
      <c r="S38" s="544">
        <f t="shared" ref="S38:S47" si="40">Q38/($E$7/100)</f>
        <v>2.9430643933128739</v>
      </c>
      <c r="V38" s="153">
        <f>8828.41/G38</f>
        <v>1.0170634338747764</v>
      </c>
      <c r="W38" s="137">
        <f t="shared" ref="W38:W42" si="41">G38*V38</f>
        <v>8828.41</v>
      </c>
      <c r="X38" s="544">
        <f t="shared" ref="X38:X47" si="42">W38/$E$6</f>
        <v>10.945276653735217</v>
      </c>
      <c r="Y38" s="544">
        <f t="shared" ref="Y38:Y47" si="43">W38/($E$7/100)</f>
        <v>2.9363932930158181</v>
      </c>
      <c r="AB38" s="153">
        <f>148.1/136.5</f>
        <v>1.0849816849816849</v>
      </c>
      <c r="AC38" s="137">
        <f>W38*AB38</f>
        <v>9578.663157509156</v>
      </c>
      <c r="AD38" s="544">
        <f t="shared" ref="AD38:AD47" si="44">AC38/$E$6</f>
        <v>11.875424706360333</v>
      </c>
      <c r="AE38" s="544">
        <f t="shared" ref="AE38:AE47" si="45">AC38/($E$7/100)</f>
        <v>3.1859329428252203</v>
      </c>
      <c r="AH38" s="153"/>
      <c r="AI38" s="137">
        <f>AC38*AH38</f>
        <v>0</v>
      </c>
      <c r="AJ38" s="544">
        <f t="shared" ref="AJ38:AJ47" si="46">AI38/$E$6</f>
        <v>0</v>
      </c>
      <c r="AK38" s="544">
        <f t="shared" ref="AK38:AK47" si="47">AI38/($E$7/100)</f>
        <v>0</v>
      </c>
      <c r="AN38" s="153"/>
      <c r="AO38" s="137">
        <f>AI38*AN38</f>
        <v>0</v>
      </c>
      <c r="AP38" s="544">
        <f t="shared" ref="AP38:AP47" si="48">AO38/$E$6</f>
        <v>0</v>
      </c>
      <c r="AQ38" s="544">
        <f t="shared" ref="AQ38:AQ47" si="49">AO38/($E$7/100)</f>
        <v>0</v>
      </c>
    </row>
    <row r="39" spans="1:44" ht="15.75" hidden="1">
      <c r="B39" s="24"/>
      <c r="C39" s="569" t="s">
        <v>289</v>
      </c>
      <c r="D39" s="25">
        <v>806.59541821514301</v>
      </c>
      <c r="E39" s="82"/>
      <c r="F39" s="20">
        <v>5.1616652694779397</v>
      </c>
      <c r="G39" s="73">
        <v>4163.3755567211374</v>
      </c>
      <c r="H39" s="82"/>
      <c r="J39" s="186">
        <f t="shared" si="37"/>
        <v>10.323330538955878</v>
      </c>
      <c r="K39" s="57"/>
      <c r="L39" s="74">
        <v>5.1616652694779388</v>
      </c>
      <c r="M39" s="74">
        <v>1.3847689517208586</v>
      </c>
      <c r="N39" s="140"/>
      <c r="P39" s="153">
        <f>2.17/3.25</f>
        <v>0.6676923076923077</v>
      </c>
      <c r="Q39" s="137">
        <f t="shared" si="38"/>
        <v>2779.8538332568824</v>
      </c>
      <c r="R39" s="544">
        <f t="shared" si="39"/>
        <v>3.446404195312962</v>
      </c>
      <c r="S39" s="544">
        <f t="shared" si="40"/>
        <v>0.92459957699515782</v>
      </c>
      <c r="V39" s="153">
        <f>6.5/3.25</f>
        <v>2</v>
      </c>
      <c r="W39" s="137">
        <f t="shared" si="41"/>
        <v>8326.7511134422748</v>
      </c>
      <c r="X39" s="544">
        <f t="shared" si="42"/>
        <v>10.323330538955878</v>
      </c>
      <c r="Y39" s="544">
        <f t="shared" si="43"/>
        <v>2.7695379034417171</v>
      </c>
      <c r="AB39" s="153">
        <v>1</v>
      </c>
      <c r="AC39" s="137">
        <f t="shared" ref="AC39:AC42" si="50">W39*AB39</f>
        <v>8326.7511134422748</v>
      </c>
      <c r="AD39" s="544">
        <f t="shared" si="44"/>
        <v>10.323330538955878</v>
      </c>
      <c r="AE39" s="544">
        <f t="shared" si="45"/>
        <v>2.7695379034417171</v>
      </c>
      <c r="AH39" s="153"/>
      <c r="AI39" s="137">
        <f t="shared" ref="AI39:AI42" si="51">AC39*AH39</f>
        <v>0</v>
      </c>
      <c r="AJ39" s="544">
        <f t="shared" si="46"/>
        <v>0</v>
      </c>
      <c r="AK39" s="544">
        <f t="shared" si="47"/>
        <v>0</v>
      </c>
      <c r="AN39" s="153"/>
      <c r="AO39" s="137">
        <f t="shared" ref="AO39:AO42" si="52">AI39*AN39</f>
        <v>0</v>
      </c>
      <c r="AP39" s="544">
        <f t="shared" si="48"/>
        <v>0</v>
      </c>
      <c r="AQ39" s="544">
        <f t="shared" si="49"/>
        <v>0</v>
      </c>
    </row>
    <row r="40" spans="1:44" ht="15.75" hidden="1">
      <c r="B40" s="24"/>
      <c r="C40" s="569" t="s">
        <v>290</v>
      </c>
      <c r="D40" s="25">
        <v>641.28767325891067</v>
      </c>
      <c r="E40" s="82"/>
      <c r="F40" s="20">
        <v>0.82391981490036104</v>
      </c>
      <c r="G40" s="73">
        <v>528.36962104936492</v>
      </c>
      <c r="H40" s="82"/>
      <c r="J40" s="186">
        <f t="shared" si="37"/>
        <v>0.74193030124790438</v>
      </c>
      <c r="K40" s="57"/>
      <c r="L40" s="74">
        <v>0.65506152045663235</v>
      </c>
      <c r="M40" s="74">
        <v>0.17573957388506703</v>
      </c>
      <c r="N40" s="140"/>
      <c r="P40" s="153">
        <f>0.825/0.739</f>
        <v>1.1163734776725305</v>
      </c>
      <c r="Q40" s="137">
        <f t="shared" si="38"/>
        <v>589.85783134739654</v>
      </c>
      <c r="R40" s="544">
        <f t="shared" si="39"/>
        <v>0.73129330768162615</v>
      </c>
      <c r="S40" s="544">
        <f t="shared" si="40"/>
        <v>0.19619099926276087</v>
      </c>
      <c r="V40" s="153">
        <f>0.837/0.739</f>
        <v>1.1326116373477673</v>
      </c>
      <c r="W40" s="137">
        <f t="shared" si="41"/>
        <v>598.43758162154052</v>
      </c>
      <c r="X40" s="544">
        <f t="shared" si="42"/>
        <v>0.74193030124790438</v>
      </c>
      <c r="Y40" s="544">
        <f t="shared" si="43"/>
        <v>0.19904468652476467</v>
      </c>
      <c r="AB40" s="153">
        <f>0.84/0.837</f>
        <v>1.0035842293906809</v>
      </c>
      <c r="AC40" s="137">
        <f t="shared" si="50"/>
        <v>600.58251919007648</v>
      </c>
      <c r="AD40" s="544">
        <f t="shared" si="44"/>
        <v>0.74458954963947388</v>
      </c>
      <c r="AE40" s="544">
        <f t="shared" si="45"/>
        <v>0.19975810834026561</v>
      </c>
      <c r="AH40" s="153"/>
      <c r="AI40" s="137">
        <f t="shared" si="51"/>
        <v>0</v>
      </c>
      <c r="AJ40" s="544">
        <f t="shared" si="46"/>
        <v>0</v>
      </c>
      <c r="AK40" s="544">
        <f t="shared" si="47"/>
        <v>0</v>
      </c>
      <c r="AN40" s="153"/>
      <c r="AO40" s="137">
        <f t="shared" si="52"/>
        <v>0</v>
      </c>
      <c r="AP40" s="544">
        <f t="shared" si="48"/>
        <v>0</v>
      </c>
      <c r="AQ40" s="544">
        <f t="shared" si="49"/>
        <v>0</v>
      </c>
    </row>
    <row r="41" spans="1:44" ht="15.75" hidden="1">
      <c r="B41" s="24"/>
      <c r="C41" s="569" t="s">
        <v>291</v>
      </c>
      <c r="D41" s="25">
        <v>89.345028766660477</v>
      </c>
      <c r="E41" s="82"/>
      <c r="F41" s="20">
        <v>1</v>
      </c>
      <c r="G41" s="73">
        <v>89.345028766660477</v>
      </c>
      <c r="H41" s="82"/>
      <c r="J41" s="186">
        <f t="shared" si="37"/>
        <v>0.11076808366252024</v>
      </c>
      <c r="K41" s="57"/>
      <c r="L41" s="74">
        <v>0.11076808366252024</v>
      </c>
      <c r="M41" s="74">
        <v>2.9716805544229046E-2</v>
      </c>
      <c r="N41" s="140"/>
      <c r="P41" s="153">
        <f>131.7/129</f>
        <v>1.0209302325581395</v>
      </c>
      <c r="Q41" s="137">
        <f t="shared" si="38"/>
        <v>91.215040996660349</v>
      </c>
      <c r="R41" s="544">
        <f t="shared" si="39"/>
        <v>0.11308648541359625</v>
      </c>
      <c r="S41" s="544">
        <f t="shared" si="40"/>
        <v>3.0338785195154771E-2</v>
      </c>
      <c r="V41" s="153">
        <f>0.25/0.25</f>
        <v>1</v>
      </c>
      <c r="W41" s="137">
        <f t="shared" si="41"/>
        <v>89.345028766660477</v>
      </c>
      <c r="X41" s="544">
        <f t="shared" si="42"/>
        <v>0.11076808366252024</v>
      </c>
      <c r="Y41" s="544">
        <f t="shared" si="43"/>
        <v>2.9716805544229046E-2</v>
      </c>
      <c r="AB41" s="153"/>
      <c r="AC41" s="137">
        <f t="shared" si="50"/>
        <v>0</v>
      </c>
      <c r="AD41" s="544">
        <f t="shared" si="44"/>
        <v>0</v>
      </c>
      <c r="AE41" s="544">
        <f t="shared" si="45"/>
        <v>0</v>
      </c>
      <c r="AH41" s="153"/>
      <c r="AI41" s="137">
        <f t="shared" si="51"/>
        <v>0</v>
      </c>
      <c r="AJ41" s="544">
        <f t="shared" si="46"/>
        <v>0</v>
      </c>
      <c r="AK41" s="544">
        <f t="shared" si="47"/>
        <v>0</v>
      </c>
      <c r="AN41" s="153"/>
      <c r="AO41" s="137">
        <f t="shared" si="52"/>
        <v>0</v>
      </c>
      <c r="AP41" s="544">
        <f t="shared" si="48"/>
        <v>0</v>
      </c>
      <c r="AQ41" s="544">
        <f t="shared" si="49"/>
        <v>0</v>
      </c>
    </row>
    <row r="42" spans="1:44" ht="15.75" hidden="1">
      <c r="B42" s="24"/>
      <c r="C42" s="569" t="s">
        <v>292</v>
      </c>
      <c r="D42" s="25">
        <v>806.59541821514301</v>
      </c>
      <c r="E42" s="82"/>
      <c r="F42" s="20">
        <v>2</v>
      </c>
      <c r="G42" s="73">
        <v>1613.190836430286</v>
      </c>
      <c r="H42" s="82"/>
      <c r="J42" s="186">
        <f t="shared" si="37"/>
        <v>1.9999999999999998</v>
      </c>
      <c r="K42" s="57"/>
      <c r="L42" s="74">
        <v>1.9999999999999998</v>
      </c>
      <c r="M42" s="74">
        <v>0.53655898994818652</v>
      </c>
      <c r="N42" s="140"/>
      <c r="P42" s="153">
        <f>2/2</f>
        <v>1</v>
      </c>
      <c r="Q42" s="137">
        <f t="shared" si="38"/>
        <v>1613.190836430286</v>
      </c>
      <c r="R42" s="544">
        <f t="shared" si="39"/>
        <v>1.9999999999999998</v>
      </c>
      <c r="S42" s="544">
        <f t="shared" si="40"/>
        <v>0.53655898994818652</v>
      </c>
      <c r="V42" s="153">
        <f>2/2</f>
        <v>1</v>
      </c>
      <c r="W42" s="137">
        <f t="shared" si="41"/>
        <v>1613.190836430286</v>
      </c>
      <c r="X42" s="544">
        <f t="shared" si="42"/>
        <v>1.9999999999999998</v>
      </c>
      <c r="Y42" s="544">
        <f t="shared" si="43"/>
        <v>0.53655898994818652</v>
      </c>
      <c r="AB42" s="153">
        <f>2.75/2</f>
        <v>1.375</v>
      </c>
      <c r="AC42" s="137">
        <f t="shared" si="50"/>
        <v>2218.1374000916435</v>
      </c>
      <c r="AD42" s="544">
        <f t="shared" si="44"/>
        <v>2.75</v>
      </c>
      <c r="AE42" s="544">
        <f t="shared" si="45"/>
        <v>0.73776861117875658</v>
      </c>
      <c r="AH42" s="153"/>
      <c r="AI42" s="137">
        <f t="shared" si="51"/>
        <v>0</v>
      </c>
      <c r="AJ42" s="544">
        <f t="shared" si="46"/>
        <v>0</v>
      </c>
      <c r="AK42" s="544">
        <f t="shared" si="47"/>
        <v>0</v>
      </c>
      <c r="AN42" s="153"/>
      <c r="AO42" s="137">
        <f t="shared" si="52"/>
        <v>0</v>
      </c>
      <c r="AP42" s="544">
        <f t="shared" si="48"/>
        <v>0</v>
      </c>
      <c r="AQ42" s="544">
        <f t="shared" si="49"/>
        <v>0</v>
      </c>
    </row>
    <row r="43" spans="1:44" ht="15.75" hidden="1">
      <c r="B43" s="24"/>
      <c r="C43" s="569" t="s">
        <v>293</v>
      </c>
      <c r="D43" s="25">
        <v>806.59541821514301</v>
      </c>
      <c r="E43" s="82"/>
      <c r="F43" s="20">
        <v>5.0000000000000027</v>
      </c>
      <c r="G43" s="73">
        <v>4032.977091075717</v>
      </c>
      <c r="H43" s="82"/>
      <c r="J43" s="186">
        <f t="shared" si="37"/>
        <v>5.0000000000000018</v>
      </c>
      <c r="K43" s="57"/>
      <c r="L43" s="74">
        <v>5.0000000000000018</v>
      </c>
      <c r="M43" s="74">
        <v>1.3413974748704669</v>
      </c>
      <c r="N43" s="140"/>
      <c r="P43" s="153">
        <f>5/5</f>
        <v>1</v>
      </c>
      <c r="Q43" s="137">
        <f t="shared" si="38"/>
        <v>4032.977091075717</v>
      </c>
      <c r="R43" s="544">
        <f t="shared" ref="R43:R46" si="53">Q43/$E$6</f>
        <v>5.0000000000000018</v>
      </c>
      <c r="S43" s="544">
        <f t="shared" ref="S43:S46" si="54">Q43/($E$7/100)</f>
        <v>1.3413974748704669</v>
      </c>
      <c r="V43" s="153">
        <f>5/5</f>
        <v>1</v>
      </c>
      <c r="W43" s="137">
        <f t="shared" ref="W43:W46" si="55">G43*V43</f>
        <v>4032.977091075717</v>
      </c>
      <c r="X43" s="544">
        <f t="shared" ref="X43:X46" si="56">W43/$E$6</f>
        <v>5.0000000000000018</v>
      </c>
      <c r="Y43" s="544">
        <f t="shared" ref="Y43:Y46" si="57">W43/($E$7/100)</f>
        <v>1.3413974748704669</v>
      </c>
      <c r="AB43" s="153">
        <v>1</v>
      </c>
      <c r="AC43" s="137">
        <f>(W43+W44)*AB43</f>
        <v>4234.6259456295029</v>
      </c>
      <c r="AD43" s="544">
        <f t="shared" ref="AD43:AD46" si="58">AC43/$E$6</f>
        <v>5.2500000000000018</v>
      </c>
      <c r="AE43" s="544">
        <f t="shared" ref="AE43:AE46" si="59">AC43/($E$7/100)</f>
        <v>1.4084673486139903</v>
      </c>
      <c r="AH43" s="153"/>
      <c r="AI43" s="137">
        <f t="shared" ref="AI43:AI46" si="60">AC43*AH43</f>
        <v>0</v>
      </c>
      <c r="AJ43" s="544">
        <f t="shared" ref="AJ43:AJ46" si="61">AI43/$E$6</f>
        <v>0</v>
      </c>
      <c r="AK43" s="544">
        <f t="shared" ref="AK43:AK46" si="62">AI43/($E$7/100)</f>
        <v>0</v>
      </c>
      <c r="AN43" s="153"/>
      <c r="AO43" s="137">
        <f t="shared" ref="AO43:AO46" si="63">AI43*AN43</f>
        <v>0</v>
      </c>
      <c r="AP43" s="544">
        <f t="shared" ref="AP43:AP46" si="64">AO43/$E$6</f>
        <v>0</v>
      </c>
      <c r="AQ43" s="544">
        <f t="shared" ref="AQ43:AQ46" si="65">AO43/($E$7/100)</f>
        <v>0</v>
      </c>
    </row>
    <row r="44" spans="1:44" ht="15.75" hidden="1">
      <c r="B44" s="24"/>
      <c r="C44" s="569" t="s">
        <v>294</v>
      </c>
      <c r="D44" s="25">
        <v>806.59541821514301</v>
      </c>
      <c r="E44" s="82"/>
      <c r="F44" s="20">
        <v>0.25</v>
      </c>
      <c r="G44" s="73">
        <v>201.64885455378575</v>
      </c>
      <c r="H44" s="82"/>
      <c r="J44" s="186">
        <f t="shared" si="37"/>
        <v>0.24999999999999997</v>
      </c>
      <c r="K44" s="57"/>
      <c r="L44" s="74">
        <v>0.24999999999999997</v>
      </c>
      <c r="M44" s="74">
        <v>6.7069873743523314E-2</v>
      </c>
      <c r="N44" s="140"/>
      <c r="P44" s="153">
        <f>0.25/0.25</f>
        <v>1</v>
      </c>
      <c r="Q44" s="137">
        <f t="shared" si="38"/>
        <v>201.64885455378575</v>
      </c>
      <c r="R44" s="544">
        <f t="shared" si="53"/>
        <v>0.24999999999999997</v>
      </c>
      <c r="S44" s="544">
        <f t="shared" si="54"/>
        <v>6.7069873743523314E-2</v>
      </c>
      <c r="V44" s="154" t="s">
        <v>355</v>
      </c>
      <c r="W44" s="137">
        <f>G44*V43</f>
        <v>201.64885455378575</v>
      </c>
      <c r="X44" s="544">
        <f t="shared" si="56"/>
        <v>0.24999999999999997</v>
      </c>
      <c r="Y44" s="544">
        <f t="shared" si="57"/>
        <v>6.7069873743523314E-2</v>
      </c>
      <c r="AB44" s="153"/>
      <c r="AC44" s="137">
        <v>89.35</v>
      </c>
      <c r="AD44" s="544">
        <f t="shared" si="58"/>
        <v>0.11077424689284272</v>
      </c>
      <c r="AE44" s="544">
        <f t="shared" si="59"/>
        <v>2.9718459012547369E-2</v>
      </c>
      <c r="AH44" s="153"/>
      <c r="AI44" s="137">
        <f t="shared" si="60"/>
        <v>0</v>
      </c>
      <c r="AJ44" s="544">
        <f t="shared" si="61"/>
        <v>0</v>
      </c>
      <c r="AK44" s="544">
        <f t="shared" si="62"/>
        <v>0</v>
      </c>
      <c r="AN44" s="153"/>
      <c r="AO44" s="137">
        <f t="shared" si="63"/>
        <v>0</v>
      </c>
      <c r="AP44" s="544">
        <f t="shared" si="64"/>
        <v>0</v>
      </c>
      <c r="AQ44" s="544">
        <f t="shared" si="65"/>
        <v>0</v>
      </c>
    </row>
    <row r="45" spans="1:44" ht="15.75" hidden="1">
      <c r="B45" s="24"/>
      <c r="C45" s="569" t="s">
        <v>295</v>
      </c>
      <c r="D45" s="25"/>
      <c r="E45" s="82"/>
      <c r="F45" s="20"/>
      <c r="G45" s="73">
        <v>1015.628619531648</v>
      </c>
      <c r="H45" s="82"/>
      <c r="J45" s="186">
        <f t="shared" si="37"/>
        <v>1.2591549574866907</v>
      </c>
      <c r="K45" s="57"/>
      <c r="L45" s="74">
        <v>1.2591549574866907</v>
      </c>
      <c r="M45" s="74">
        <v>0.33780545608865531</v>
      </c>
      <c r="N45" s="140"/>
      <c r="P45" s="153">
        <f>5/5</f>
        <v>1</v>
      </c>
      <c r="Q45" s="137">
        <f t="shared" si="38"/>
        <v>1015.628619531648</v>
      </c>
      <c r="R45" s="544">
        <f t="shared" si="53"/>
        <v>1.2591549574866907</v>
      </c>
      <c r="S45" s="544">
        <f t="shared" si="54"/>
        <v>0.33780545608865531</v>
      </c>
      <c r="V45" s="153">
        <f>5/5</f>
        <v>1</v>
      </c>
      <c r="W45" s="137">
        <f t="shared" si="55"/>
        <v>1015.628619531648</v>
      </c>
      <c r="X45" s="544">
        <f t="shared" si="56"/>
        <v>1.2591549574866907</v>
      </c>
      <c r="Y45" s="544">
        <f t="shared" si="57"/>
        <v>0.33780545608865531</v>
      </c>
      <c r="AB45" s="153">
        <v>1</v>
      </c>
      <c r="AC45" s="137">
        <f t="shared" ref="AC45:AC46" si="66">W45*AB45</f>
        <v>1015.628619531648</v>
      </c>
      <c r="AD45" s="544">
        <f t="shared" si="58"/>
        <v>1.2591549574866907</v>
      </c>
      <c r="AE45" s="544">
        <f t="shared" si="59"/>
        <v>0.33780545608865531</v>
      </c>
      <c r="AH45" s="153"/>
      <c r="AI45" s="137">
        <f t="shared" si="60"/>
        <v>0</v>
      </c>
      <c r="AJ45" s="544">
        <f t="shared" si="61"/>
        <v>0</v>
      </c>
      <c r="AK45" s="544">
        <f t="shared" si="62"/>
        <v>0</v>
      </c>
      <c r="AN45" s="153"/>
      <c r="AO45" s="137">
        <f t="shared" si="63"/>
        <v>0</v>
      </c>
      <c r="AP45" s="544">
        <f t="shared" si="64"/>
        <v>0</v>
      </c>
      <c r="AQ45" s="544">
        <f t="shared" si="65"/>
        <v>0</v>
      </c>
    </row>
    <row r="46" spans="1:44" ht="15.75" hidden="1">
      <c r="B46" s="24"/>
      <c r="C46" s="569" t="s">
        <v>296</v>
      </c>
      <c r="D46" s="25"/>
      <c r="E46" s="82"/>
      <c r="F46" s="20"/>
      <c r="G46" s="73">
        <v>361.38666666666643</v>
      </c>
      <c r="H46" s="82"/>
      <c r="J46" s="186">
        <f t="shared" si="37"/>
        <v>0.44803957288320945</v>
      </c>
      <c r="K46" s="57"/>
      <c r="L46" s="74">
        <v>0.44803957288320945</v>
      </c>
      <c r="M46" s="74">
        <v>0.12019983034151591</v>
      </c>
      <c r="N46" s="140"/>
      <c r="P46" s="153">
        <f>5/5</f>
        <v>1</v>
      </c>
      <c r="Q46" s="137">
        <f t="shared" si="38"/>
        <v>361.38666666666643</v>
      </c>
      <c r="R46" s="544">
        <f t="shared" si="53"/>
        <v>0.44803957288320945</v>
      </c>
      <c r="S46" s="544">
        <f t="shared" si="54"/>
        <v>0.12019983034151591</v>
      </c>
      <c r="V46" s="153">
        <f>352/352</f>
        <v>1</v>
      </c>
      <c r="W46" s="137">
        <f t="shared" si="55"/>
        <v>361.38666666666643</v>
      </c>
      <c r="X46" s="544">
        <f t="shared" si="56"/>
        <v>0.44803957288320945</v>
      </c>
      <c r="Y46" s="544">
        <f t="shared" si="57"/>
        <v>0.12019983034151591</v>
      </c>
      <c r="AB46" s="153">
        <f>400/352</f>
        <v>1.1363636363636365</v>
      </c>
      <c r="AC46" s="137">
        <f t="shared" si="66"/>
        <v>410.66666666666646</v>
      </c>
      <c r="AD46" s="544">
        <f t="shared" si="58"/>
        <v>0.50913587827637441</v>
      </c>
      <c r="AE46" s="544">
        <f t="shared" si="59"/>
        <v>0.13659071629717717</v>
      </c>
      <c r="AH46" s="153"/>
      <c r="AI46" s="137">
        <f t="shared" si="60"/>
        <v>0</v>
      </c>
      <c r="AJ46" s="544">
        <f t="shared" si="61"/>
        <v>0</v>
      </c>
      <c r="AK46" s="544">
        <f t="shared" si="62"/>
        <v>0</v>
      </c>
      <c r="AN46" s="153"/>
      <c r="AO46" s="137">
        <f t="shared" si="63"/>
        <v>0</v>
      </c>
      <c r="AP46" s="544">
        <f t="shared" si="64"/>
        <v>0</v>
      </c>
      <c r="AQ46" s="544">
        <f t="shared" si="65"/>
        <v>0</v>
      </c>
    </row>
    <row r="47" spans="1:44" ht="15.75" hidden="1">
      <c r="B47" s="26"/>
      <c r="C47" s="27" t="s">
        <v>6</v>
      </c>
      <c r="D47" s="27"/>
      <c r="E47" s="83"/>
      <c r="F47" s="84"/>
      <c r="G47" s="77">
        <v>20686.216645782337</v>
      </c>
      <c r="H47" s="89"/>
      <c r="J47" s="187">
        <f t="shared" si="37"/>
        <v>31.078500107971426</v>
      </c>
      <c r="L47" s="79">
        <v>25.646335422481538</v>
      </c>
      <c r="M47" s="79">
        <v>6.8803859150795459</v>
      </c>
      <c r="N47" s="203">
        <f>G47/$N$9</f>
        <v>2.8748522802000246E-2</v>
      </c>
      <c r="P47" s="156"/>
      <c r="Q47" s="157">
        <f>SUM(Q38:Q46)</f>
        <v>19534.225763061961</v>
      </c>
      <c r="R47" s="559">
        <f t="shared" si="39"/>
        <v>24.218121405013484</v>
      </c>
      <c r="S47" s="559">
        <f t="shared" si="40"/>
        <v>6.4972253797582962</v>
      </c>
      <c r="T47" s="411">
        <f>Q47/T$9</f>
        <v>2.6134498881307033E-2</v>
      </c>
      <c r="V47" s="156"/>
      <c r="W47" s="157">
        <f>SUM(W38:W46)</f>
        <v>25067.775792088582</v>
      </c>
      <c r="X47" s="559">
        <f t="shared" si="42"/>
        <v>31.078500107971426</v>
      </c>
      <c r="Y47" s="559">
        <f t="shared" si="43"/>
        <v>8.3377243135188781</v>
      </c>
      <c r="Z47" s="411">
        <f>W47/Z$9</f>
        <v>3.2834539830941256E-2</v>
      </c>
      <c r="AB47" s="156"/>
      <c r="AC47" s="157">
        <f>SUM(AC38:AC46)</f>
        <v>26474.405422060972</v>
      </c>
      <c r="AD47" s="559">
        <f t="shared" si="44"/>
        <v>32.822409877611598</v>
      </c>
      <c r="AE47" s="559">
        <f t="shared" si="45"/>
        <v>8.8055795457983308</v>
      </c>
      <c r="AF47" s="411">
        <f>AC47/AF$9</f>
        <v>3.1025259966565879E-2</v>
      </c>
      <c r="AH47" s="156"/>
      <c r="AI47" s="157">
        <f>SUM(AI38:AI46)</f>
        <v>0</v>
      </c>
      <c r="AJ47" s="559">
        <f t="shared" si="46"/>
        <v>0</v>
      </c>
      <c r="AK47" s="559">
        <f t="shared" si="47"/>
        <v>0</v>
      </c>
      <c r="AL47" s="411">
        <f>AI47/AL$9</f>
        <v>0</v>
      </c>
      <c r="AN47" s="156"/>
      <c r="AO47" s="157">
        <f>SUM(AO38:AO46)</f>
        <v>0</v>
      </c>
      <c r="AP47" s="559">
        <f t="shared" si="48"/>
        <v>0</v>
      </c>
      <c r="AQ47" s="559">
        <f t="shared" si="49"/>
        <v>0</v>
      </c>
      <c r="AR47" s="411">
        <f>AO47/AR$9</f>
        <v>0</v>
      </c>
    </row>
    <row r="48" spans="1:44" ht="15.75" hidden="1">
      <c r="B48" s="34"/>
      <c r="C48" s="35"/>
      <c r="D48" s="35"/>
      <c r="E48" s="95"/>
      <c r="F48" s="96"/>
      <c r="G48" s="97"/>
      <c r="H48" s="98"/>
      <c r="J48" s="191"/>
      <c r="L48" s="99"/>
      <c r="M48" s="99"/>
      <c r="N48" s="97"/>
    </row>
    <row r="49" spans="1:44" ht="15.75" hidden="1">
      <c r="A49" s="21"/>
      <c r="B49" s="17">
        <v>6</v>
      </c>
      <c r="C49" s="18" t="s">
        <v>320</v>
      </c>
      <c r="D49" s="18"/>
      <c r="E49" s="18"/>
      <c r="F49" s="18"/>
      <c r="G49" s="68" t="s">
        <v>67</v>
      </c>
      <c r="H49" s="91"/>
      <c r="J49" s="184" t="s">
        <v>86</v>
      </c>
      <c r="L49" s="69" t="s">
        <v>278</v>
      </c>
      <c r="M49" s="69" t="s">
        <v>279</v>
      </c>
      <c r="N49" s="138" t="s">
        <v>83</v>
      </c>
      <c r="Q49" s="69" t="s">
        <v>67</v>
      </c>
      <c r="R49" s="69" t="s">
        <v>278</v>
      </c>
      <c r="S49" s="69" t="s">
        <v>279</v>
      </c>
      <c r="T49" s="138" t="s">
        <v>83</v>
      </c>
      <c r="W49" s="69" t="s">
        <v>67</v>
      </c>
      <c r="X49" s="69" t="s">
        <v>278</v>
      </c>
      <c r="Y49" s="69" t="s">
        <v>279</v>
      </c>
      <c r="Z49" s="138" t="s">
        <v>83</v>
      </c>
      <c r="AC49" s="69" t="s">
        <v>67</v>
      </c>
      <c r="AD49" s="69" t="s">
        <v>278</v>
      </c>
      <c r="AE49" s="69" t="s">
        <v>279</v>
      </c>
      <c r="AF49" s="138" t="s">
        <v>83</v>
      </c>
      <c r="AI49" s="69" t="s">
        <v>67</v>
      </c>
      <c r="AJ49" s="69" t="s">
        <v>278</v>
      </c>
      <c r="AK49" s="69" t="s">
        <v>279</v>
      </c>
      <c r="AL49" s="138" t="s">
        <v>83</v>
      </c>
      <c r="AO49" s="69" t="s">
        <v>67</v>
      </c>
      <c r="AP49" s="69" t="s">
        <v>278</v>
      </c>
      <c r="AQ49" s="69" t="s">
        <v>279</v>
      </c>
      <c r="AR49" s="138" t="s">
        <v>83</v>
      </c>
    </row>
    <row r="50" spans="1:44" ht="15.75" hidden="1">
      <c r="B50" s="22"/>
      <c r="C50" s="568" t="s">
        <v>183</v>
      </c>
      <c r="D50" s="23"/>
      <c r="E50" s="100"/>
      <c r="F50" s="80"/>
      <c r="G50" s="72">
        <v>18014.208063464837</v>
      </c>
      <c r="H50" s="82"/>
      <c r="J50" s="185">
        <f t="shared" ref="J50:J57" si="67">IF($D$2=$L$2,L50,IF($D$2=$M$2,M50,IF($D$2=$N$2,N50,IF($D$2=$R$2,R50,IF($D$2=$S$2,S50,IF($D$2=$T$2,T50,IF($D$2=$X$2,X50,IF($D$2=$Y$2,Y50,IF($D$2=$Z$2,Z50,IF($D$2=$AD$2,AD50,IF($D$2=$AE$2,AE50,IF($D$2=$AF$2,AF50,IF($D$2=$AJ$2,AJ50,IF($D$2=$AK$2,AK50,IF($D$2=$AL$2,AL50,IF($D$2=$AP$2,AP50,IF($D$2=$AQ$2,AQ50,IF($D$2=$AR$2,AR50))))))))))))))))))</f>
        <v>22.35695573543763</v>
      </c>
      <c r="L50" s="74">
        <v>22.333635496377081</v>
      </c>
      <c r="M50" s="74">
        <v>5.9916564519035269</v>
      </c>
      <c r="N50" s="139"/>
      <c r="P50" s="153">
        <f>(12303+6834.34+2456.48)/(12545.77+6949.71+2345.31)</f>
        <v>0.9886922588422854</v>
      </c>
      <c r="Q50" s="137">
        <f>G50*P50</f>
        <v>17810.508061521963</v>
      </c>
      <c r="R50" s="544">
        <f>Q50/$E$6</f>
        <v>22.081092527073302</v>
      </c>
      <c r="S50" s="544">
        <f>Q50/($E$7/100)</f>
        <v>5.9239043516394521</v>
      </c>
      <c r="V50" s="153">
        <f>(10670.16+5549.39+1813.47)/(10738.71+5575.05+1700.45)</f>
        <v>1.0010441756813095</v>
      </c>
      <c r="W50" s="137">
        <f>G50*V50</f>
        <v>18033.018061442759</v>
      </c>
      <c r="X50" s="544">
        <f>W50/$E$6</f>
        <v>22.35695573543763</v>
      </c>
      <c r="Y50" s="544">
        <f>W50/($E$7/100)</f>
        <v>5.9979127938613663</v>
      </c>
      <c r="AB50" s="153">
        <f>AC50/W50</f>
        <v>1.0208984395886027</v>
      </c>
      <c r="AC50" s="137">
        <f>10852.62+5678.69+1878.57</f>
        <v>18409.88</v>
      </c>
      <c r="AD50" s="544">
        <f>AC50/$E$6</f>
        <v>22.824181224259739</v>
      </c>
      <c r="AE50" s="544">
        <f>AC50/($E$7/100)</f>
        <v>6.1232598120415851</v>
      </c>
      <c r="AH50" s="153"/>
      <c r="AI50" s="137">
        <f>AC50*AH50</f>
        <v>0</v>
      </c>
      <c r="AJ50" s="544">
        <f>AI50/$E$6</f>
        <v>0</v>
      </c>
      <c r="AK50" s="544">
        <f>AI50/($E$7/100)</f>
        <v>0</v>
      </c>
      <c r="AN50" s="153"/>
      <c r="AO50" s="137">
        <f>AI50*AN50</f>
        <v>0</v>
      </c>
      <c r="AP50" s="544">
        <f>AO50/$E$6</f>
        <v>0</v>
      </c>
      <c r="AQ50" s="544">
        <f>AO50/($E$7/100)</f>
        <v>0</v>
      </c>
    </row>
    <row r="51" spans="1:44" ht="15.75" hidden="1">
      <c r="B51" s="24"/>
      <c r="C51" s="569" t="s">
        <v>184</v>
      </c>
      <c r="D51" s="44"/>
      <c r="E51" s="64"/>
      <c r="F51" s="82"/>
      <c r="G51" s="73">
        <v>15100.695885250172</v>
      </c>
      <c r="H51" s="82"/>
      <c r="J51" s="186">
        <f t="shared" si="67"/>
        <v>19.645561631213472</v>
      </c>
      <c r="L51" s="74">
        <v>18.721524501918712</v>
      </c>
      <c r="M51" s="74">
        <v>5.0226011385198657</v>
      </c>
      <c r="N51" s="140"/>
      <c r="P51" s="153">
        <v>1.1538999999999999</v>
      </c>
      <c r="Q51" s="137">
        <f>G51*P51</f>
        <v>17424.692981990171</v>
      </c>
      <c r="R51" s="544">
        <f>Q51/$E$6</f>
        <v>21.602767122763996</v>
      </c>
      <c r="S51" s="544">
        <f>Q51/($E$7/100)</f>
        <v>5.795579453738072</v>
      </c>
      <c r="V51" s="153">
        <f>15846.02/G51</f>
        <v>1.0493569382771184</v>
      </c>
      <c r="W51" s="137">
        <f>G51*V51</f>
        <v>15846.02</v>
      </c>
      <c r="X51" s="544">
        <f>W51/$E$6</f>
        <v>19.645561631213472</v>
      </c>
      <c r="Y51" s="544">
        <f>W51/($E$7/100)</f>
        <v>5.2705013529043754</v>
      </c>
      <c r="AB51" s="153">
        <v>1.196</v>
      </c>
      <c r="AC51" s="137">
        <f>W51*AB51</f>
        <v>18951.839919999999</v>
      </c>
      <c r="AD51" s="544">
        <f>AC51/$E$6</f>
        <v>23.49609171093131</v>
      </c>
      <c r="AE51" s="544">
        <f>AC51/($E$7/100)</f>
        <v>6.3035196180736319</v>
      </c>
      <c r="AH51" s="153"/>
      <c r="AI51" s="137">
        <f>AC51*AH51</f>
        <v>0</v>
      </c>
      <c r="AJ51" s="544">
        <f>AI51/$E$6</f>
        <v>0</v>
      </c>
      <c r="AK51" s="544">
        <f>AI51/($E$7/100)</f>
        <v>0</v>
      </c>
      <c r="AN51" s="153"/>
      <c r="AO51" s="137">
        <f>AI51*AN51</f>
        <v>0</v>
      </c>
      <c r="AP51" s="544">
        <f>AO51/$E$6</f>
        <v>0</v>
      </c>
      <c r="AQ51" s="544">
        <f>AO51/($E$7/100)</f>
        <v>0</v>
      </c>
    </row>
    <row r="52" spans="1:44" ht="15.75" hidden="1">
      <c r="B52" s="24"/>
      <c r="C52" s="569" t="s">
        <v>185</v>
      </c>
      <c r="D52" s="44"/>
      <c r="E52" s="64"/>
      <c r="F52" s="82"/>
      <c r="G52" s="73">
        <v>6308.5881227586833</v>
      </c>
      <c r="H52" s="82"/>
      <c r="J52" s="186">
        <f t="shared" si="67"/>
        <v>8.4336588321113481</v>
      </c>
      <c r="L52" s="74">
        <v>7.8212545971541756</v>
      </c>
      <c r="M52" s="74">
        <v>2.098282233388328</v>
      </c>
      <c r="N52" s="140"/>
      <c r="P52" s="153">
        <v>1.052</v>
      </c>
      <c r="Q52" s="137">
        <f>G52*P52</f>
        <v>6636.6347051421353</v>
      </c>
      <c r="R52" s="544">
        <f t="shared" ref="R52:R55" si="68">Q52/$E$6</f>
        <v>8.2279598362061943</v>
      </c>
      <c r="S52" s="544">
        <f t="shared" ref="S52:S55" si="69">Q52/($E$7/100)</f>
        <v>2.2073929095245211</v>
      </c>
      <c r="V52" s="153">
        <v>1.0783</v>
      </c>
      <c r="W52" s="137">
        <f t="shared" ref="W52:W54" si="70">G52*V52</f>
        <v>6802.5505727706886</v>
      </c>
      <c r="X52" s="544">
        <f t="shared" ref="X52:X55" si="71">W52/$E$6</f>
        <v>8.4336588321113481</v>
      </c>
      <c r="Y52" s="544">
        <f t="shared" ref="Y52:Y55" si="72">W52/($E$7/100)</f>
        <v>2.2625777322626339</v>
      </c>
      <c r="AB52" s="153">
        <v>1.0159</v>
      </c>
      <c r="AC52" s="137">
        <f>W52*AB52</f>
        <v>6910.7111268777426</v>
      </c>
      <c r="AD52" s="544">
        <f t="shared" ref="AD52:AD55" si="73">AC52/$E$6</f>
        <v>8.5677540075419181</v>
      </c>
      <c r="AE52" s="544">
        <f t="shared" ref="AE52:AE55" si="74">AC52/($E$7/100)</f>
        <v>2.29855271820561</v>
      </c>
      <c r="AH52" s="153"/>
      <c r="AI52" s="137"/>
      <c r="AJ52" s="544"/>
      <c r="AK52" s="544"/>
      <c r="AN52" s="153"/>
      <c r="AO52" s="137"/>
      <c r="AP52" s="544"/>
      <c r="AQ52" s="544"/>
    </row>
    <row r="53" spans="1:44" ht="15.75" hidden="1">
      <c r="B53" s="24"/>
      <c r="C53" s="569" t="s">
        <v>39</v>
      </c>
      <c r="D53" s="44"/>
      <c r="E53" s="64"/>
      <c r="F53" s="82"/>
      <c r="G53" s="73">
        <v>628.74504821428582</v>
      </c>
      <c r="H53" s="82"/>
      <c r="J53" s="186">
        <f t="shared" si="67"/>
        <v>0.82409253754878764</v>
      </c>
      <c r="L53" s="74">
        <v>0.77950485958076776</v>
      </c>
      <c r="M53" s="74">
        <v>0.2091251700581799</v>
      </c>
      <c r="N53" s="140"/>
      <c r="P53" s="153">
        <v>1.0310999999999999</v>
      </c>
      <c r="Q53" s="137">
        <f>G53*P53</f>
        <v>648.29901921375006</v>
      </c>
      <c r="R53" s="544">
        <f t="shared" si="68"/>
        <v>0.8037474607137296</v>
      </c>
      <c r="S53" s="544">
        <f t="shared" si="69"/>
        <v>0.21562896284698929</v>
      </c>
      <c r="V53" s="153">
        <v>1.0571999999999999</v>
      </c>
      <c r="W53" s="137">
        <f t="shared" si="70"/>
        <v>664.70926497214293</v>
      </c>
      <c r="X53" s="544">
        <f t="shared" si="71"/>
        <v>0.82409253754878764</v>
      </c>
      <c r="Y53" s="544">
        <f t="shared" si="72"/>
        <v>0.22108712978550779</v>
      </c>
      <c r="AB53" s="153">
        <v>1.0130999999999999</v>
      </c>
      <c r="AC53" s="137">
        <f t="shared" ref="AC53:AC55" si="75">W53*AB53</f>
        <v>673.41695634327789</v>
      </c>
      <c r="AD53" s="544">
        <f t="shared" si="73"/>
        <v>0.8348881497906766</v>
      </c>
      <c r="AE53" s="544">
        <f t="shared" si="74"/>
        <v>0.22398337118569789</v>
      </c>
      <c r="AH53" s="153"/>
      <c r="AI53" s="137"/>
      <c r="AJ53" s="544"/>
      <c r="AK53" s="544"/>
      <c r="AN53" s="153"/>
      <c r="AO53" s="137"/>
      <c r="AP53" s="544"/>
      <c r="AQ53" s="544"/>
    </row>
    <row r="54" spans="1:44" ht="15.75" hidden="1">
      <c r="B54" s="24"/>
      <c r="C54" s="569" t="s">
        <v>297</v>
      </c>
      <c r="D54" s="44"/>
      <c r="E54" s="64"/>
      <c r="F54" s="82"/>
      <c r="G54" s="73">
        <v>1164.2774761904761</v>
      </c>
      <c r="H54" s="82"/>
      <c r="J54" s="186">
        <f t="shared" si="67"/>
        <v>1.4859668117790408</v>
      </c>
      <c r="L54" s="74">
        <v>1.4434466771046404</v>
      </c>
      <c r="M54" s="74">
        <v>0.38724714555566608</v>
      </c>
      <c r="N54" s="140"/>
      <c r="P54" s="153">
        <f>131.7/129</f>
        <v>1.0209302325581395</v>
      </c>
      <c r="Q54" s="137">
        <f>G54*P54</f>
        <v>1188.6460745293466</v>
      </c>
      <c r="R54" s="544">
        <f t="shared" si="68"/>
        <v>1.4736583517417143</v>
      </c>
      <c r="S54" s="544">
        <f t="shared" si="69"/>
        <v>0.39535231836962187</v>
      </c>
      <c r="V54" s="153">
        <f>132.8/129</f>
        <v>1.0294573643410854</v>
      </c>
      <c r="W54" s="137">
        <f t="shared" si="70"/>
        <v>1198.5740220007383</v>
      </c>
      <c r="X54" s="544">
        <f t="shared" si="71"/>
        <v>1.4859668117790408</v>
      </c>
      <c r="Y54" s="544">
        <f t="shared" si="72"/>
        <v>0.39865442581234461</v>
      </c>
      <c r="AB54" s="153">
        <f>137.8/132.8</f>
        <v>1.0376506024096386</v>
      </c>
      <c r="AC54" s="137">
        <f>(W55+W54)*AB54</f>
        <v>1356.1932568217055</v>
      </c>
      <c r="AD54" s="544">
        <f t="shared" si="73"/>
        <v>1.6813798171860781</v>
      </c>
      <c r="AE54" s="544">
        <f t="shared" si="74"/>
        <v>0.45107972821431436</v>
      </c>
      <c r="AH54" s="153"/>
      <c r="AI54" s="137"/>
      <c r="AJ54" s="544"/>
      <c r="AK54" s="544"/>
      <c r="AN54" s="153"/>
      <c r="AO54" s="137"/>
      <c r="AP54" s="544"/>
      <c r="AQ54" s="544"/>
    </row>
    <row r="55" spans="1:44" ht="15.75" hidden="1">
      <c r="B55" s="24"/>
      <c r="C55" s="569" t="s">
        <v>186</v>
      </c>
      <c r="D55" s="44"/>
      <c r="E55" s="64"/>
      <c r="F55" s="82"/>
      <c r="G55" s="73">
        <v>105.30837380952381</v>
      </c>
      <c r="H55" s="82"/>
      <c r="J55" s="186">
        <f t="shared" si="67"/>
        <v>0.1344050294568892</v>
      </c>
      <c r="L55" s="74">
        <v>0.13055910240917698</v>
      </c>
      <c r="M55" s="74">
        <v>3.5026330058604928E-2</v>
      </c>
      <c r="N55" s="140"/>
      <c r="P55" s="154" t="s">
        <v>322</v>
      </c>
      <c r="Q55" s="137">
        <f>G55*P54</f>
        <v>107.51250256367663</v>
      </c>
      <c r="R55" s="544">
        <f t="shared" si="68"/>
        <v>0.13329173478518302</v>
      </c>
      <c r="S55" s="544">
        <f t="shared" si="69"/>
        <v>3.5759439292389686E-2</v>
      </c>
      <c r="V55" s="154" t="s">
        <v>352</v>
      </c>
      <c r="W55" s="137">
        <f>G55*V54</f>
        <v>108.41048094499817</v>
      </c>
      <c r="X55" s="544">
        <f t="shared" si="71"/>
        <v>0.1344050294568892</v>
      </c>
      <c r="Y55" s="544">
        <f t="shared" si="72"/>
        <v>3.6058113424672369E-2</v>
      </c>
      <c r="AB55" s="153"/>
      <c r="AC55" s="137">
        <f t="shared" si="75"/>
        <v>0</v>
      </c>
      <c r="AD55" s="544">
        <f t="shared" si="73"/>
        <v>0</v>
      </c>
      <c r="AE55" s="544">
        <f t="shared" si="74"/>
        <v>0</v>
      </c>
      <c r="AH55" s="153"/>
      <c r="AI55" s="137"/>
      <c r="AJ55" s="544"/>
      <c r="AK55" s="544"/>
      <c r="AN55" s="153"/>
      <c r="AO55" s="137"/>
      <c r="AP55" s="544"/>
      <c r="AQ55" s="544"/>
    </row>
    <row r="56" spans="1:44" ht="15.75" hidden="1">
      <c r="B56" s="24"/>
      <c r="C56" s="569" t="s">
        <v>187</v>
      </c>
      <c r="D56" s="44"/>
      <c r="E56" s="64"/>
      <c r="F56" s="82"/>
      <c r="G56" s="73">
        <v>1676.828588143253</v>
      </c>
      <c r="H56" s="82"/>
      <c r="J56" s="186">
        <f t="shared" si="67"/>
        <v>2.2150491502054312</v>
      </c>
      <c r="L56" s="74">
        <v>2.0788967433683001</v>
      </c>
      <c r="M56" s="74">
        <v>0.55772536841413478</v>
      </c>
      <c r="N56" s="140"/>
      <c r="P56" s="153">
        <f>136.8/134.2</f>
        <v>1.0193740685543966</v>
      </c>
      <c r="Q56" s="137">
        <f>G56*P56</f>
        <v>1709.3155801639125</v>
      </c>
      <c r="R56" s="544">
        <f>Q56/$E$6</f>
        <v>2.1191734313918293</v>
      </c>
      <c r="S56" s="544">
        <f>Q56/($E$7/100)</f>
        <v>0.56853077793631634</v>
      </c>
      <c r="V56" s="153">
        <f>(940.32+846.33)/(924.54+752.29)</f>
        <v>1.0654926259668542</v>
      </c>
      <c r="W56" s="137">
        <f>G56*V56</f>
        <v>1786.6484956770473</v>
      </c>
      <c r="X56" s="544">
        <f>W56/$E$6</f>
        <v>2.2150491502054312</v>
      </c>
      <c r="Y56" s="544">
        <f>W56/($E$7/100)</f>
        <v>0.59425226735990766</v>
      </c>
      <c r="AB56" s="153">
        <f>AC56/W56</f>
        <v>1.0447662226321939</v>
      </c>
      <c r="AC56" s="137">
        <f>1020.3+846.33</f>
        <v>1866.63</v>
      </c>
      <c r="AD56" s="544">
        <f>AC56/$E$6</f>
        <v>2.3142085336047793</v>
      </c>
      <c r="AE56" s="544">
        <f>AC56/($E$7/100)</f>
        <v>0.62085469666022719</v>
      </c>
      <c r="AH56" s="153"/>
      <c r="AI56" s="137">
        <f>AC56*AH56</f>
        <v>0</v>
      </c>
      <c r="AJ56" s="544">
        <f>AI56/$E$6</f>
        <v>0</v>
      </c>
      <c r="AK56" s="544">
        <f>AI56/($E$7/100)</f>
        <v>0</v>
      </c>
      <c r="AN56" s="153"/>
      <c r="AO56" s="137">
        <f>AI56*AN56</f>
        <v>0</v>
      </c>
      <c r="AP56" s="544">
        <f>AO56/$E$6</f>
        <v>0</v>
      </c>
      <c r="AQ56" s="544">
        <f>AO56/($E$7/100)</f>
        <v>0</v>
      </c>
    </row>
    <row r="57" spans="1:44" ht="15.75" hidden="1">
      <c r="B57" s="31"/>
      <c r="C57" s="27" t="s">
        <v>6</v>
      </c>
      <c r="D57" s="27"/>
      <c r="E57" s="101"/>
      <c r="F57" s="101"/>
      <c r="G57" s="77">
        <v>42998.651557831232</v>
      </c>
      <c r="H57" s="102"/>
      <c r="J57" s="187">
        <f t="shared" si="67"/>
        <v>55.0956897277526</v>
      </c>
      <c r="L57" s="79">
        <v>53.308821977912849</v>
      </c>
      <c r="M57" s="79">
        <v>14.301663837898305</v>
      </c>
      <c r="N57" s="203">
        <f>G57/$N$9</f>
        <v>5.9757070900522055E-2</v>
      </c>
      <c r="P57" s="156"/>
      <c r="Q57" s="157">
        <f>SUM(Q50:Q56)</f>
        <v>45525.60892512495</v>
      </c>
      <c r="R57" s="559">
        <f>Q57/$E$6</f>
        <v>56.441690464675943</v>
      </c>
      <c r="S57" s="559">
        <f>Q57/($E$7/100)</f>
        <v>15.14214821334736</v>
      </c>
      <c r="T57" s="411">
        <f>Q57/T$9</f>
        <v>6.0907915673541493E-2</v>
      </c>
      <c r="V57" s="156"/>
      <c r="W57" s="157">
        <f>SUM(W50:W56)</f>
        <v>44439.930897808372</v>
      </c>
      <c r="X57" s="559">
        <f>W57/$E$6</f>
        <v>55.0956897277526</v>
      </c>
      <c r="Y57" s="559">
        <f>W57/($E$7/100)</f>
        <v>14.781043815410808</v>
      </c>
      <c r="Z57" s="411">
        <f>W57/Z$9</f>
        <v>5.8208781395311507E-2</v>
      </c>
      <c r="AB57" s="156"/>
      <c r="AC57" s="157">
        <f>SUM(AC50:AC56)</f>
        <v>48168.671260042735</v>
      </c>
      <c r="AD57" s="559">
        <f>AC57/$E$6</f>
        <v>59.718503443314511</v>
      </c>
      <c r="AE57" s="559">
        <f>AC57/($E$7/100)</f>
        <v>16.021249944381069</v>
      </c>
      <c r="AF57" s="411">
        <f>AC57/AF$9</f>
        <v>5.6448691642440561E-2</v>
      </c>
      <c r="AH57" s="156"/>
      <c r="AI57" s="157">
        <f>SUM(AI50:AI56)</f>
        <v>0</v>
      </c>
      <c r="AJ57" s="559">
        <f>AI57/$E$6</f>
        <v>0</v>
      </c>
      <c r="AK57" s="559">
        <f>AI57/($E$7/100)</f>
        <v>0</v>
      </c>
      <c r="AL57" s="411">
        <f>AI57/AL$9</f>
        <v>0</v>
      </c>
      <c r="AN57" s="156"/>
      <c r="AO57" s="157">
        <f>SUM(AO50:AO56)</f>
        <v>0</v>
      </c>
      <c r="AP57" s="559">
        <f>AO57/$E$6</f>
        <v>0</v>
      </c>
      <c r="AQ57" s="559">
        <f>AO57/($E$7/100)</f>
        <v>0</v>
      </c>
      <c r="AR57" s="411">
        <f>AO57/AR$9</f>
        <v>0</v>
      </c>
    </row>
    <row r="58" spans="1:44" ht="15.75" hidden="1">
      <c r="B58" s="28"/>
      <c r="C58" s="29"/>
      <c r="D58" s="29"/>
      <c r="E58" s="29"/>
      <c r="F58" s="29"/>
      <c r="G58" s="29"/>
      <c r="H58" s="90"/>
      <c r="J58" s="188"/>
      <c r="L58" s="29"/>
      <c r="M58" s="29"/>
      <c r="N58" s="142"/>
    </row>
    <row r="59" spans="1:44" ht="15.75" hidden="1">
      <c r="A59" s="21"/>
      <c r="B59" s="17">
        <v>7</v>
      </c>
      <c r="C59" s="18" t="s">
        <v>17</v>
      </c>
      <c r="D59" s="18"/>
      <c r="E59" s="18"/>
      <c r="F59" s="18"/>
      <c r="G59" s="68" t="s">
        <v>67</v>
      </c>
      <c r="H59" s="91"/>
      <c r="J59" s="184" t="s">
        <v>86</v>
      </c>
      <c r="L59" s="69" t="s">
        <v>278</v>
      </c>
      <c r="M59" s="69" t="s">
        <v>279</v>
      </c>
      <c r="N59" s="138" t="s">
        <v>83</v>
      </c>
      <c r="Q59" s="69" t="s">
        <v>67</v>
      </c>
      <c r="R59" s="69" t="s">
        <v>278</v>
      </c>
      <c r="S59" s="69" t="s">
        <v>279</v>
      </c>
      <c r="T59" s="138" t="s">
        <v>83</v>
      </c>
      <c r="W59" s="69" t="s">
        <v>67</v>
      </c>
      <c r="X59" s="69" t="s">
        <v>278</v>
      </c>
      <c r="Y59" s="69" t="s">
        <v>279</v>
      </c>
      <c r="Z59" s="138" t="s">
        <v>83</v>
      </c>
      <c r="AC59" s="69" t="s">
        <v>67</v>
      </c>
      <c r="AD59" s="69" t="s">
        <v>278</v>
      </c>
      <c r="AE59" s="69" t="s">
        <v>279</v>
      </c>
      <c r="AF59" s="138" t="s">
        <v>83</v>
      </c>
      <c r="AI59" s="69" t="s">
        <v>67</v>
      </c>
      <c r="AJ59" s="69" t="s">
        <v>278</v>
      </c>
      <c r="AK59" s="69" t="s">
        <v>279</v>
      </c>
      <c r="AL59" s="138" t="s">
        <v>83</v>
      </c>
      <c r="AO59" s="69" t="s">
        <v>67</v>
      </c>
      <c r="AP59" s="69" t="s">
        <v>278</v>
      </c>
      <c r="AQ59" s="69" t="s">
        <v>279</v>
      </c>
      <c r="AR59" s="138" t="s">
        <v>83</v>
      </c>
    </row>
    <row r="60" spans="1:44" ht="15.75" hidden="1">
      <c r="B60" s="22"/>
      <c r="C60" s="568" t="s">
        <v>123</v>
      </c>
      <c r="D60" s="30"/>
      <c r="E60" s="100"/>
      <c r="F60" s="80"/>
      <c r="G60" s="72">
        <v>7243.0043805419327</v>
      </c>
      <c r="H60" s="82"/>
      <c r="J60" s="185">
        <f t="shared" ref="J60:J62" si="76">IF($D$2=$L$2,L60,IF($D$2=$M$2,M60,IF($D$2=$N$2,N60,IF($D$2=$R$2,R60,IF($D$2=$S$2,S60,IF($D$2=$T$2,T60,IF($D$2=$X$2,X60,IF($D$2=$Y$2,Y60,IF($D$2=$Z$2,Z60,IF($D$2=$AD$2,AD60,IF($D$2=$AE$2,AE60,IF($D$2=$AF$2,AF60,IF($D$2=$AJ$2,AJ60,IF($D$2=$AK$2,AK60,IF($D$2=$AL$2,AL60,IF($D$2=$AP$2,AP60,IF($D$2=$AQ$2,AQ60,IF($D$2=$AR$2,AR60))))))))))))))))))</f>
        <v>7.3121893998933292</v>
      </c>
      <c r="L60" s="74">
        <v>8.9797241801465422</v>
      </c>
      <c r="M60" s="74">
        <v>2.4090758680563682</v>
      </c>
      <c r="N60" s="139"/>
      <c r="P60" s="153">
        <v>1.0130999999999999</v>
      </c>
      <c r="Q60" s="137">
        <f>G60*P60</f>
        <v>7337.8877379270316</v>
      </c>
      <c r="R60" s="544">
        <f>Q60/$E$6</f>
        <v>9.0973585669064612</v>
      </c>
      <c r="S60" s="544">
        <f>Q60/($E$7/100)</f>
        <v>2.4406347619279063</v>
      </c>
      <c r="V60" s="153">
        <v>0.81430000000000002</v>
      </c>
      <c r="W60" s="137">
        <f>G60*V60</f>
        <v>5897.9784670752961</v>
      </c>
      <c r="X60" s="544">
        <f>W60/$E$6</f>
        <v>7.3121893998933292</v>
      </c>
      <c r="Y60" s="544">
        <f>W60/($E$7/100)</f>
        <v>1.9617104793583007</v>
      </c>
      <c r="AB60" s="153">
        <v>1.1850000000000001</v>
      </c>
      <c r="AC60" s="137">
        <f>W60*AB60</f>
        <v>6989.104483484226</v>
      </c>
      <c r="AD60" s="544">
        <f>AC60/$E$6</f>
        <v>8.6649444388735954</v>
      </c>
      <c r="AE60" s="544">
        <f>AC60/($E$7/100)</f>
        <v>2.3246269180395864</v>
      </c>
      <c r="AH60" s="153"/>
      <c r="AI60" s="137">
        <f>AC60*AH60</f>
        <v>0</v>
      </c>
      <c r="AJ60" s="544">
        <f>AI60/$E$6</f>
        <v>0</v>
      </c>
      <c r="AK60" s="544">
        <f>AI60/($E$7/100)</f>
        <v>0</v>
      </c>
      <c r="AN60" s="153"/>
      <c r="AO60" s="137">
        <f>AI60*AN60</f>
        <v>0</v>
      </c>
      <c r="AP60" s="544">
        <f>AO60/$E$6</f>
        <v>0</v>
      </c>
      <c r="AQ60" s="544">
        <f>AO60/($E$7/100)</f>
        <v>0</v>
      </c>
    </row>
    <row r="61" spans="1:44" ht="15.75" hidden="1">
      <c r="B61" s="24"/>
      <c r="C61" s="569" t="s">
        <v>124</v>
      </c>
      <c r="D61" s="25"/>
      <c r="E61" s="64"/>
      <c r="F61" s="82"/>
      <c r="G61" s="73">
        <v>2134.9373986636178</v>
      </c>
      <c r="H61" s="82"/>
      <c r="J61" s="186">
        <f t="shared" si="76"/>
        <v>2.1553302739789175</v>
      </c>
      <c r="L61" s="74">
        <v>2.6468503917216228</v>
      </c>
      <c r="M61" s="74">
        <v>0.71009568636305798</v>
      </c>
      <c r="N61" s="140"/>
      <c r="P61" s="153">
        <v>0.73919999999999997</v>
      </c>
      <c r="Q61" s="137">
        <f>G61*P61</f>
        <v>1578.1457250921462</v>
      </c>
      <c r="R61" s="544">
        <f>Q61/$E$6</f>
        <v>1.9565518095606236</v>
      </c>
      <c r="S61" s="544">
        <f>Q61/($E$7/100)</f>
        <v>0.52490273135957244</v>
      </c>
      <c r="V61" s="154" t="s">
        <v>356</v>
      </c>
      <c r="W61" s="137">
        <f>G61*V60</f>
        <v>1738.479523731784</v>
      </c>
      <c r="X61" s="544">
        <f t="shared" ref="X61:X62" si="77">W61/$E$6</f>
        <v>2.1553302739789175</v>
      </c>
      <c r="Y61" s="544">
        <f t="shared" ref="Y61:Y62" si="78">W61/($E$7/100)</f>
        <v>0.57823091740543808</v>
      </c>
      <c r="AB61" s="153">
        <v>1.1850000000000001</v>
      </c>
      <c r="AC61" s="137">
        <f t="shared" ref="AC61:AC62" si="79">W61*AB61</f>
        <v>2060.0982356221639</v>
      </c>
      <c r="AD61" s="544">
        <f t="shared" ref="AD61:AD62" si="80">AC61/$E$6</f>
        <v>2.554066374665017</v>
      </c>
      <c r="AE61" s="544">
        <f t="shared" ref="AE61:AE62" si="81">AC61/($E$7/100)</f>
        <v>0.68520363712544419</v>
      </c>
      <c r="AH61" s="153"/>
      <c r="AI61" s="137">
        <f t="shared" ref="AI61:AI62" si="82">AC61*AH61</f>
        <v>0</v>
      </c>
      <c r="AJ61" s="544">
        <f t="shared" ref="AJ61:AJ62" si="83">AI61/$E$6</f>
        <v>0</v>
      </c>
      <c r="AK61" s="544">
        <f t="shared" ref="AK61:AK62" si="84">AI61/($E$7/100)</f>
        <v>0</v>
      </c>
      <c r="AN61" s="153"/>
      <c r="AO61" s="137">
        <f t="shared" ref="AO61:AO62" si="85">AI61*AN61</f>
        <v>0</v>
      </c>
      <c r="AP61" s="544">
        <f t="shared" ref="AP61:AP62" si="86">AO61/$E$6</f>
        <v>0</v>
      </c>
      <c r="AQ61" s="544">
        <f t="shared" ref="AQ61:AQ62" si="87">AO61/($E$7/100)</f>
        <v>0</v>
      </c>
    </row>
    <row r="62" spans="1:44" ht="15.75" hidden="1">
      <c r="B62" s="24"/>
      <c r="C62" s="569" t="s">
        <v>40</v>
      </c>
      <c r="D62" s="25"/>
      <c r="E62" s="64"/>
      <c r="F62" s="82"/>
      <c r="G62" s="73">
        <v>2070.3375878242396</v>
      </c>
      <c r="H62" s="82"/>
      <c r="J62" s="186">
        <f t="shared" si="76"/>
        <v>2.0711193764428151</v>
      </c>
      <c r="L62" s="74">
        <v>2.566760907724396</v>
      </c>
      <c r="M62" s="74">
        <v>0.68860932004354625</v>
      </c>
      <c r="N62" s="140"/>
      <c r="P62" s="153">
        <v>0.74229999999999996</v>
      </c>
      <c r="Q62" s="137">
        <f>G62*P62</f>
        <v>1536.8115914419329</v>
      </c>
      <c r="R62" s="544">
        <f>Q62/$E$6</f>
        <v>1.905306621803819</v>
      </c>
      <c r="S62" s="544">
        <f>Q62/($E$7/100)</f>
        <v>0.51115469826832438</v>
      </c>
      <c r="V62" s="153">
        <v>0.80689999999999995</v>
      </c>
      <c r="W62" s="137">
        <f t="shared" ref="W62" si="88">G62*V62</f>
        <v>1670.5553996153787</v>
      </c>
      <c r="X62" s="544">
        <f t="shared" si="77"/>
        <v>2.0711193764428151</v>
      </c>
      <c r="Y62" s="544">
        <f t="shared" si="78"/>
        <v>0.55563886034313748</v>
      </c>
      <c r="AB62" s="153">
        <v>1.2895000000000001</v>
      </c>
      <c r="AC62" s="137">
        <f t="shared" si="79"/>
        <v>2154.1811878040312</v>
      </c>
      <c r="AD62" s="544">
        <f t="shared" si="80"/>
        <v>2.67070843592301</v>
      </c>
      <c r="AE62" s="544">
        <f t="shared" si="81"/>
        <v>0.71649631041247586</v>
      </c>
      <c r="AH62" s="153"/>
      <c r="AI62" s="137">
        <f t="shared" si="82"/>
        <v>0</v>
      </c>
      <c r="AJ62" s="544">
        <f t="shared" si="83"/>
        <v>0</v>
      </c>
      <c r="AK62" s="544">
        <f t="shared" si="84"/>
        <v>0</v>
      </c>
      <c r="AN62" s="153"/>
      <c r="AO62" s="137">
        <f t="shared" si="85"/>
        <v>0</v>
      </c>
      <c r="AP62" s="544">
        <f t="shared" si="86"/>
        <v>0</v>
      </c>
      <c r="AQ62" s="544">
        <f t="shared" si="87"/>
        <v>0</v>
      </c>
    </row>
    <row r="63" spans="1:44" ht="15.75" hidden="1">
      <c r="B63" s="26"/>
      <c r="C63" s="27" t="s">
        <v>6</v>
      </c>
      <c r="D63" s="27"/>
      <c r="E63" s="75"/>
      <c r="F63" s="76"/>
      <c r="G63" s="77">
        <v>11448.279367029791</v>
      </c>
      <c r="H63" s="102"/>
      <c r="J63" s="187">
        <f>IF($D$2=$L$2,L63,IF($D$2=$M$2,M63,IF($D$2=$N$2,N63,IF($D$2=$R$2,R63,IF($D$2=$S$2,S63,IF($D$2=$T$2,T63,IF($D$2=$X$2,X63,IF($D$2=$Y$2,Y63,IF($D$2=$Z$2,Z63,IF($D$2=$AD$2,AD63,IF($D$2=$AE$2,AE63,IF($D$2=$AF$2,AF63,IF($D$2=$AJ$2,AJ63,IF($D$2=$AK$2,AK63,IF($D$2=$AL$2,AL63,IF($D$2=$AP$2,AP63,IF($D$2=$AQ$2,AQ63,IF($D$2=$AR$2,AR63))))))))))))))))))</f>
        <v>11.53863905031506</v>
      </c>
      <c r="L63" s="79">
        <v>14.193335479592561</v>
      </c>
      <c r="M63" s="79">
        <v>3.8077808744629724</v>
      </c>
      <c r="N63" s="203">
        <f>G63/$N$9</f>
        <v>1.5910165017721044E-2</v>
      </c>
      <c r="P63" s="156"/>
      <c r="Q63" s="157">
        <f>SUM(Q60:Q62)</f>
        <v>10452.84505446111</v>
      </c>
      <c r="R63" s="559">
        <f>Q63/$E$6</f>
        <v>12.959216998270902</v>
      </c>
      <c r="S63" s="559">
        <f>Q63/($E$7/100)</f>
        <v>3.4766921915558027</v>
      </c>
      <c r="T63" s="411">
        <f>Q63/T$9</f>
        <v>1.398467851737724E-2</v>
      </c>
      <c r="V63" s="156"/>
      <c r="W63" s="157">
        <f>SUM(W60:W62)</f>
        <v>9307.0133904224585</v>
      </c>
      <c r="X63" s="559">
        <f>W63/$E$6</f>
        <v>11.53863905031506</v>
      </c>
      <c r="Y63" s="559">
        <f>W63/($E$7/100)</f>
        <v>3.0955802571068762</v>
      </c>
      <c r="Z63" s="411">
        <f>W63/Z$9</f>
        <v>1.2190610942490354E-2</v>
      </c>
      <c r="AB63" s="156"/>
      <c r="AC63" s="157">
        <f>SUM(AC60:AC62)</f>
        <v>11203.383906910422</v>
      </c>
      <c r="AD63" s="559">
        <f>AC63/$E$6</f>
        <v>13.889719249461622</v>
      </c>
      <c r="AE63" s="559">
        <f>AC63/($E$7/100)</f>
        <v>3.7263268655775064</v>
      </c>
      <c r="AF63" s="411">
        <f>AC63/AF$9</f>
        <v>1.3129205082260065E-2</v>
      </c>
      <c r="AH63" s="156"/>
      <c r="AI63" s="157">
        <f>SUM(AI60:AI62)</f>
        <v>0</v>
      </c>
      <c r="AJ63" s="559">
        <f>AI63/$E$6</f>
        <v>0</v>
      </c>
      <c r="AK63" s="559">
        <f>AI63/($E$7/100)</f>
        <v>0</v>
      </c>
      <c r="AL63" s="411">
        <f>AI63/AL$9</f>
        <v>0</v>
      </c>
      <c r="AN63" s="156"/>
      <c r="AO63" s="157">
        <f>SUM(AO60:AO62)</f>
        <v>0</v>
      </c>
      <c r="AP63" s="559">
        <f>AO63/$E$6</f>
        <v>0</v>
      </c>
      <c r="AQ63" s="559">
        <f>AO63/($E$7/100)</f>
        <v>0</v>
      </c>
      <c r="AR63" s="411">
        <f>AO63/AR$9</f>
        <v>0</v>
      </c>
    </row>
    <row r="64" spans="1:44" ht="15.75" hidden="1">
      <c r="B64" s="28"/>
      <c r="C64" s="29"/>
      <c r="D64" s="29"/>
      <c r="E64" s="29"/>
      <c r="F64" s="29"/>
      <c r="G64" s="29"/>
      <c r="H64" s="90"/>
      <c r="J64" s="188"/>
      <c r="L64" s="29"/>
      <c r="M64" s="29"/>
      <c r="N64" s="142"/>
    </row>
    <row r="65" spans="1:44" ht="15.75" hidden="1">
      <c r="A65" s="21"/>
      <c r="B65" s="17">
        <v>8</v>
      </c>
      <c r="C65" s="18" t="s">
        <v>16</v>
      </c>
      <c r="D65" s="18"/>
      <c r="E65" s="18"/>
      <c r="F65" s="18"/>
      <c r="G65" s="68" t="s">
        <v>67</v>
      </c>
      <c r="H65" s="91"/>
      <c r="J65" s="184" t="s">
        <v>86</v>
      </c>
      <c r="L65" s="69" t="s">
        <v>278</v>
      </c>
      <c r="M65" s="69" t="s">
        <v>279</v>
      </c>
      <c r="N65" s="138" t="s">
        <v>83</v>
      </c>
      <c r="Q65" s="69" t="s">
        <v>67</v>
      </c>
      <c r="R65" s="69" t="s">
        <v>278</v>
      </c>
      <c r="S65" s="69" t="s">
        <v>279</v>
      </c>
      <c r="T65" s="138" t="s">
        <v>83</v>
      </c>
      <c r="W65" s="69" t="s">
        <v>67</v>
      </c>
      <c r="X65" s="69" t="s">
        <v>278</v>
      </c>
      <c r="Y65" s="69" t="s">
        <v>279</v>
      </c>
      <c r="Z65" s="138" t="s">
        <v>83</v>
      </c>
      <c r="AC65" s="69" t="s">
        <v>67</v>
      </c>
      <c r="AD65" s="69" t="s">
        <v>278</v>
      </c>
      <c r="AE65" s="69" t="s">
        <v>279</v>
      </c>
      <c r="AF65" s="138" t="s">
        <v>83</v>
      </c>
      <c r="AI65" s="69" t="s">
        <v>67</v>
      </c>
      <c r="AJ65" s="69" t="s">
        <v>278</v>
      </c>
      <c r="AK65" s="69" t="s">
        <v>279</v>
      </c>
      <c r="AL65" s="138" t="s">
        <v>83</v>
      </c>
      <c r="AO65" s="69" t="s">
        <v>67</v>
      </c>
      <c r="AP65" s="69" t="s">
        <v>278</v>
      </c>
      <c r="AQ65" s="69" t="s">
        <v>279</v>
      </c>
      <c r="AR65" s="138" t="s">
        <v>83</v>
      </c>
    </row>
    <row r="66" spans="1:44" ht="15.75" hidden="1">
      <c r="B66" s="22"/>
      <c r="C66" s="568" t="s">
        <v>188</v>
      </c>
      <c r="D66" s="30"/>
      <c r="E66" s="103"/>
      <c r="F66" s="71"/>
      <c r="G66" s="72">
        <v>15459.514446174826</v>
      </c>
      <c r="H66" s="82"/>
      <c r="J66" s="185">
        <f t="shared" ref="J66:J67" si="89">IF($D$2=$L$2,L66,IF($D$2=$M$2,M66,IF($D$2=$N$2,N66,IF($D$2=$R$2,R66,IF($D$2=$S$2,S66,IF($D$2=$T$2,T66,IF($D$2=$X$2,X66,IF($D$2=$Y$2,Y66,IF($D$2=$Z$2,Z66,IF($D$2=$AD$2,AD66,IF($D$2=$AE$2,AE66,IF($D$2=$AF$2,AF66,IF($D$2=$AJ$2,AJ66,IF($D$2=$AK$2,AK66,IF($D$2=$AL$2,AL66,IF($D$2=$AP$2,AP66,IF($D$2=$AQ$2,AQ66,IF($D$2=$AR$2,AR66))))))))))))))))))</f>
        <v>20.172820613898679</v>
      </c>
      <c r="L66" s="74">
        <v>19.166380191427407</v>
      </c>
      <c r="M66" s="74">
        <v>5.141946798237611</v>
      </c>
      <c r="N66" s="139"/>
      <c r="P66" s="153">
        <f>147.5/143.4</f>
        <v>1.0285913528591353</v>
      </c>
      <c r="Q66" s="137">
        <f>G66*P66</f>
        <v>15901.52287873631</v>
      </c>
      <c r="R66" s="544">
        <f>Q66/$E$6</f>
        <v>19.714372930512852</v>
      </c>
      <c r="S66" s="544">
        <f>Q66/($E$7/100)</f>
        <v>5.2889620135289235</v>
      </c>
      <c r="V66" s="153">
        <f>16271.3/15459.51</f>
        <v>1.0525107199387302</v>
      </c>
      <c r="W66" s="137">
        <f>G66*V66</f>
        <v>16271.304679646666</v>
      </c>
      <c r="X66" s="544">
        <f>W66/$E$6</f>
        <v>20.172820613898679</v>
      </c>
      <c r="Y66" s="544">
        <f>W66/($E$7/100)</f>
        <v>5.4119541264997171</v>
      </c>
      <c r="AB66" s="153">
        <f>AC66/W66</f>
        <v>1.0309413000534058</v>
      </c>
      <c r="AC66" s="137">
        <v>16774.759999999998</v>
      </c>
      <c r="AD66" s="544">
        <f>AC66/$E$6</f>
        <v>20.796993909436846</v>
      </c>
      <c r="AE66" s="544">
        <f>AC66/($E$7/100)</f>
        <v>5.5794070230030117</v>
      </c>
      <c r="AH66" s="153"/>
      <c r="AI66" s="137">
        <f>AC66*AH66</f>
        <v>0</v>
      </c>
      <c r="AJ66" s="544">
        <f>AI66/$E$6</f>
        <v>0</v>
      </c>
      <c r="AK66" s="544">
        <f>AI66/($E$7/100)</f>
        <v>0</v>
      </c>
      <c r="AN66" s="153"/>
      <c r="AO66" s="137">
        <f>AI66*AN66</f>
        <v>0</v>
      </c>
      <c r="AP66" s="544">
        <f>AO66/$E$6</f>
        <v>0</v>
      </c>
      <c r="AQ66" s="544">
        <f>AO66/($E$7/100)</f>
        <v>0</v>
      </c>
    </row>
    <row r="67" spans="1:44" ht="15.75" hidden="1">
      <c r="B67" s="26"/>
      <c r="C67" s="27" t="s">
        <v>6</v>
      </c>
      <c r="D67" s="27"/>
      <c r="E67" s="75"/>
      <c r="F67" s="76"/>
      <c r="G67" s="77">
        <v>15459.514446174826</v>
      </c>
      <c r="H67" s="102"/>
      <c r="J67" s="187">
        <f t="shared" si="89"/>
        <v>20.172820613898679</v>
      </c>
      <c r="L67" s="79">
        <v>19.166380191427407</v>
      </c>
      <c r="M67" s="79">
        <v>5.141946798237611</v>
      </c>
      <c r="N67" s="203">
        <f>G67/$N$9</f>
        <v>2.1484750506774019E-2</v>
      </c>
      <c r="P67" s="156"/>
      <c r="Q67" s="157">
        <f>SUM(Q66:Q66)</f>
        <v>15901.52287873631</v>
      </c>
      <c r="R67" s="559">
        <f>Q67/$E$6</f>
        <v>19.714372930512852</v>
      </c>
      <c r="S67" s="559">
        <f>Q67/($E$7/100)</f>
        <v>5.2889620135289235</v>
      </c>
      <c r="T67" s="411">
        <f>Q67/T$9</f>
        <v>2.1274369249445545E-2</v>
      </c>
      <c r="V67" s="156"/>
      <c r="W67" s="157">
        <f>SUM(W66:W66)</f>
        <v>16271.304679646666</v>
      </c>
      <c r="X67" s="559">
        <f>W67/$E$6</f>
        <v>20.172820613898679</v>
      </c>
      <c r="Y67" s="559">
        <f>W67/($E$7/100)</f>
        <v>5.4119541264997171</v>
      </c>
      <c r="Z67" s="411">
        <f>W67/Z$9</f>
        <v>2.1312652787243001E-2</v>
      </c>
      <c r="AB67" s="156"/>
      <c r="AC67" s="157">
        <f>SUM(AC66:AC66)</f>
        <v>16774.759999999998</v>
      </c>
      <c r="AD67" s="559">
        <f>AC67/$E$6</f>
        <v>20.796993909436846</v>
      </c>
      <c r="AE67" s="559">
        <f>AC67/($E$7/100)</f>
        <v>5.5794070230030117</v>
      </c>
      <c r="AF67" s="411">
        <f>AC67/AF$9</f>
        <v>1.9658280576268197E-2</v>
      </c>
      <c r="AH67" s="156"/>
      <c r="AI67" s="157">
        <f>SUM(AI66:AI66)</f>
        <v>0</v>
      </c>
      <c r="AJ67" s="559">
        <f>AI67/$E$6</f>
        <v>0</v>
      </c>
      <c r="AK67" s="559">
        <f>AI67/($E$7/100)</f>
        <v>0</v>
      </c>
      <c r="AL67" s="411">
        <f>AI67/AL$9</f>
        <v>0</v>
      </c>
      <c r="AN67" s="156"/>
      <c r="AO67" s="157">
        <f>SUM(AO66:AO66)</f>
        <v>0</v>
      </c>
      <c r="AP67" s="559">
        <f>AO67/$E$6</f>
        <v>0</v>
      </c>
      <c r="AQ67" s="559">
        <f>AO67/($E$7/100)</f>
        <v>0</v>
      </c>
      <c r="AR67" s="411">
        <f>AO67/AR$9</f>
        <v>0</v>
      </c>
    </row>
    <row r="68" spans="1:44" ht="15.75" hidden="1">
      <c r="B68" s="28"/>
      <c r="C68" s="29"/>
      <c r="D68" s="29"/>
      <c r="E68" s="29"/>
      <c r="F68" s="29"/>
      <c r="G68" s="29"/>
      <c r="H68" s="90"/>
      <c r="J68" s="188"/>
      <c r="L68" s="29"/>
      <c r="M68" s="29"/>
      <c r="N68" s="142"/>
    </row>
    <row r="69" spans="1:44" ht="15.75" hidden="1">
      <c r="A69" s="21"/>
      <c r="B69" s="17">
        <v>9</v>
      </c>
      <c r="C69" s="18" t="s">
        <v>298</v>
      </c>
      <c r="D69" s="18"/>
      <c r="E69" s="18"/>
      <c r="F69" s="18"/>
      <c r="G69" s="68" t="s">
        <v>67</v>
      </c>
      <c r="H69" s="91"/>
      <c r="J69" s="184" t="s">
        <v>86</v>
      </c>
      <c r="L69" s="69" t="s">
        <v>278</v>
      </c>
      <c r="M69" s="69" t="s">
        <v>279</v>
      </c>
      <c r="N69" s="138" t="s">
        <v>83</v>
      </c>
      <c r="Q69" s="69" t="s">
        <v>67</v>
      </c>
      <c r="R69" s="69" t="s">
        <v>278</v>
      </c>
      <c r="S69" s="69" t="s">
        <v>279</v>
      </c>
      <c r="T69" s="138" t="s">
        <v>83</v>
      </c>
      <c r="W69" s="69" t="s">
        <v>67</v>
      </c>
      <c r="X69" s="69" t="s">
        <v>278</v>
      </c>
      <c r="Y69" s="69" t="s">
        <v>279</v>
      </c>
      <c r="Z69" s="138" t="s">
        <v>83</v>
      </c>
      <c r="AC69" s="69" t="s">
        <v>67</v>
      </c>
      <c r="AD69" s="69" t="s">
        <v>278</v>
      </c>
      <c r="AE69" s="69" t="s">
        <v>279</v>
      </c>
      <c r="AF69" s="138" t="s">
        <v>83</v>
      </c>
      <c r="AI69" s="69" t="s">
        <v>67</v>
      </c>
      <c r="AJ69" s="69" t="s">
        <v>278</v>
      </c>
      <c r="AK69" s="69" t="s">
        <v>279</v>
      </c>
      <c r="AL69" s="138" t="s">
        <v>83</v>
      </c>
      <c r="AO69" s="69" t="s">
        <v>67</v>
      </c>
      <c r="AP69" s="69" t="s">
        <v>278</v>
      </c>
      <c r="AQ69" s="69" t="s">
        <v>279</v>
      </c>
      <c r="AR69" s="138" t="s">
        <v>83</v>
      </c>
    </row>
    <row r="70" spans="1:44" ht="15.75" hidden="1">
      <c r="B70" s="22"/>
      <c r="C70" s="568" t="s">
        <v>299</v>
      </c>
      <c r="D70" s="30"/>
      <c r="E70" s="105"/>
      <c r="F70" s="106"/>
      <c r="G70" s="72">
        <v>8133.2932023085805</v>
      </c>
      <c r="H70" s="82"/>
      <c r="J70" s="186">
        <f t="shared" ref="J70:J73" si="90">IF($D$2=$L$2,L70,IF($D$2=$M$2,M70,IF($D$2=$N$2,N70,IF($D$2=$R$2,R70,IF($D$2=$S$2,S70,IF($D$2=$T$2,T70,IF($D$2=$X$2,X70,IF($D$2=$Y$2,Y70,IF($D$2=$Z$2,Z70,IF($D$2=$AD$2,AD70,IF($D$2=$AE$2,AE70,IF($D$2=$AF$2,AF70,IF($D$2=$AJ$2,AJ70,IF($D$2=$AK$2,AK70,IF($D$2=$AL$2,AL70,IF($D$2=$AP$2,AP70,IF($D$2=$AQ$2,AQ70,IF($D$2=$AR$2,AR70))))))))))))))))))</f>
        <v>10.277088419540044</v>
      </c>
      <c r="L70" s="74">
        <v>10.083485497978849</v>
      </c>
      <c r="M70" s="74">
        <v>2.7051923969763592</v>
      </c>
      <c r="N70" s="140"/>
      <c r="P70" s="153">
        <v>1.0192000000000001</v>
      </c>
      <c r="Q70" s="137">
        <f>G70*P70</f>
        <v>8289.4524317929063</v>
      </c>
      <c r="R70" s="544">
        <f>Q70/$E$6</f>
        <v>10.277088419540044</v>
      </c>
      <c r="S70" s="544">
        <f>Q70/($E$7/100)</f>
        <v>2.7571320909983057</v>
      </c>
      <c r="V70" s="153">
        <v>1.0192000000000001</v>
      </c>
      <c r="W70" s="137">
        <f>G70*V70</f>
        <v>8289.4524317929063</v>
      </c>
      <c r="X70" s="544">
        <f>W70/$E$6</f>
        <v>10.277088419540044</v>
      </c>
      <c r="Y70" s="544">
        <f>W70/($E$7/100)</f>
        <v>2.7571320909983057</v>
      </c>
      <c r="AB70" s="153">
        <v>1.0098</v>
      </c>
      <c r="AC70" s="137">
        <f>W70*AB70</f>
        <v>8370.6890656244777</v>
      </c>
      <c r="AD70" s="544">
        <f>AC70/$E$6</f>
        <v>10.377803886051538</v>
      </c>
      <c r="AE70" s="544">
        <f>AC70/($E$7/100)</f>
        <v>2.7841519854900896</v>
      </c>
      <c r="AH70" s="153"/>
      <c r="AI70" s="137">
        <f>AC70*AH70</f>
        <v>0</v>
      </c>
      <c r="AJ70" s="544">
        <f>AI70/$E$6</f>
        <v>0</v>
      </c>
      <c r="AK70" s="544">
        <f>AI70/($E$7/100)</f>
        <v>0</v>
      </c>
      <c r="AN70" s="153"/>
      <c r="AO70" s="137">
        <f>AI70*AN70</f>
        <v>0</v>
      </c>
      <c r="AP70" s="544">
        <f>AO70/$E$6</f>
        <v>0</v>
      </c>
      <c r="AQ70" s="544">
        <f>AO70/($E$7/100)</f>
        <v>0</v>
      </c>
    </row>
    <row r="71" spans="1:44" ht="15.75" hidden="1">
      <c r="B71" s="24"/>
      <c r="C71" s="569" t="s">
        <v>300</v>
      </c>
      <c r="D71" s="25"/>
      <c r="E71" s="107"/>
      <c r="F71" s="108"/>
      <c r="G71" s="73">
        <v>6178.5241499379217</v>
      </c>
      <c r="H71" s="82"/>
      <c r="J71" s="186">
        <f t="shared" si="90"/>
        <v>6.2903953051908932</v>
      </c>
      <c r="L71" s="74">
        <v>7.6600040248306049</v>
      </c>
      <c r="M71" s="74">
        <v>2.0550220112810771</v>
      </c>
      <c r="N71" s="140"/>
      <c r="P71" s="153">
        <v>0.89700000000000002</v>
      </c>
      <c r="Q71" s="137">
        <f>G71*P71</f>
        <v>5542.1361624943156</v>
      </c>
      <c r="R71" s="544">
        <f>Q71/$E$6</f>
        <v>6.8710236102730526</v>
      </c>
      <c r="S71" s="544">
        <f>Q71/($E$7/100)</f>
        <v>1.8433547441191258</v>
      </c>
      <c r="V71" s="153">
        <v>0.82120000000000004</v>
      </c>
      <c r="W71" s="137">
        <f>G71*V71</f>
        <v>5073.8040319290212</v>
      </c>
      <c r="X71" s="544">
        <f>W71/$E$6</f>
        <v>6.2903953051908932</v>
      </c>
      <c r="Y71" s="544">
        <f>W71/($E$7/100)</f>
        <v>1.6875840756640204</v>
      </c>
      <c r="AB71" s="153">
        <v>1.4486000000000001</v>
      </c>
      <c r="AC71" s="137">
        <f>W71*AB71</f>
        <v>7349.9125206523804</v>
      </c>
      <c r="AD71" s="544">
        <f>AC71/$E$6</f>
        <v>9.1122666390995271</v>
      </c>
      <c r="AE71" s="544">
        <f>AC71/($E$7/100)</f>
        <v>2.4446342920068997</v>
      </c>
      <c r="AH71" s="153"/>
      <c r="AI71" s="137"/>
      <c r="AJ71" s="544"/>
      <c r="AK71" s="544"/>
      <c r="AN71" s="153"/>
      <c r="AO71" s="137"/>
      <c r="AP71" s="544"/>
      <c r="AQ71" s="544"/>
    </row>
    <row r="72" spans="1:44" ht="15.75" hidden="1">
      <c r="B72" s="24"/>
      <c r="C72" s="569" t="s">
        <v>301</v>
      </c>
      <c r="D72" s="25"/>
      <c r="E72" s="107"/>
      <c r="F72" s="108"/>
      <c r="G72" s="73">
        <v>2480.4593849463818</v>
      </c>
      <c r="H72" s="82"/>
      <c r="I72" s="57"/>
      <c r="J72" s="186">
        <f t="shared" si="90"/>
        <v>2.4629447137197493</v>
      </c>
      <c r="K72" s="57"/>
      <c r="L72" s="74">
        <v>3.0752212682229358</v>
      </c>
      <c r="M72" s="74">
        <v>0.82501880877243994</v>
      </c>
      <c r="N72" s="140"/>
      <c r="P72" s="153">
        <v>0.86150000000000004</v>
      </c>
      <c r="Q72" s="137">
        <f>G72*P72</f>
        <v>2136.9157601313082</v>
      </c>
      <c r="R72" s="544">
        <f>Q72/$E$6</f>
        <v>2.6493031225740595</v>
      </c>
      <c r="S72" s="544">
        <f>Q72/($E$7/100)</f>
        <v>0.71075370375745706</v>
      </c>
      <c r="V72" s="153">
        <v>0.80089999999999995</v>
      </c>
      <c r="W72" s="137">
        <f>G72*V72</f>
        <v>1986.5999214035571</v>
      </c>
      <c r="X72" s="544">
        <f>W72/$E$6</f>
        <v>2.4629447137197493</v>
      </c>
      <c r="Y72" s="544">
        <f>W72/($E$7/100)</f>
        <v>0.66075756394584717</v>
      </c>
      <c r="AB72" s="153">
        <v>1.7084999999999999</v>
      </c>
      <c r="AC72" s="137">
        <f t="shared" ref="AC72" si="91">W72*AB72</f>
        <v>3394.1059657179771</v>
      </c>
      <c r="AD72" s="544">
        <f>AC72/$E$6</f>
        <v>4.2079410433901918</v>
      </c>
      <c r="AE72" s="544">
        <f>AC72/($E$7/100)</f>
        <v>1.1289042980014798</v>
      </c>
      <c r="AH72" s="153"/>
      <c r="AI72" s="137">
        <f t="shared" ref="AI72" si="92">AC72*AH72</f>
        <v>0</v>
      </c>
      <c r="AJ72" s="544">
        <f>AI72/$E$6</f>
        <v>0</v>
      </c>
      <c r="AK72" s="544">
        <f>AI72/($E$7/100)</f>
        <v>0</v>
      </c>
      <c r="AN72" s="153"/>
      <c r="AO72" s="137">
        <f t="shared" ref="AO72" si="93">AI72*AN72</f>
        <v>0</v>
      </c>
      <c r="AP72" s="544">
        <f>AO72/$E$6</f>
        <v>0</v>
      </c>
      <c r="AQ72" s="544">
        <f>AO72/($E$7/100)</f>
        <v>0</v>
      </c>
    </row>
    <row r="73" spans="1:44" ht="15.75" hidden="1">
      <c r="B73" s="26"/>
      <c r="C73" s="27" t="s">
        <v>6</v>
      </c>
      <c r="D73" s="27"/>
      <c r="E73" s="75"/>
      <c r="F73" s="76"/>
      <c r="G73" s="77">
        <v>16792.276737192886</v>
      </c>
      <c r="H73" s="102"/>
      <c r="J73" s="187">
        <f t="shared" si="90"/>
        <v>19.030428438450684</v>
      </c>
      <c r="L73" s="79">
        <v>20.818710791032391</v>
      </c>
      <c r="M73" s="79">
        <v>5.5852332170298764</v>
      </c>
      <c r="N73" s="203">
        <f>G73/$N$9</f>
        <v>2.3336947443945259E-2</v>
      </c>
      <c r="P73" s="156"/>
      <c r="Q73" s="157">
        <f>SUM(Q70:Q72)</f>
        <v>15968.504354418532</v>
      </c>
      <c r="R73" s="559">
        <f>Q73/$E$6</f>
        <v>19.79741515238716</v>
      </c>
      <c r="S73" s="559">
        <f>Q73/($E$7/100)</f>
        <v>5.3112405388748893</v>
      </c>
      <c r="T73" s="411">
        <f>Q73/T$9</f>
        <v>2.1363982593865648E-2</v>
      </c>
      <c r="V73" s="156"/>
      <c r="W73" s="157">
        <f>SUM(W70:W72)</f>
        <v>15349.856385125484</v>
      </c>
      <c r="X73" s="559">
        <f>W73/$E$6</f>
        <v>19.030428438450684</v>
      </c>
      <c r="Y73" s="559">
        <f>W73/($E$7/100)</f>
        <v>5.105473730608173</v>
      </c>
      <c r="Z73" s="411">
        <f>W73/Z$9</f>
        <v>2.0105711613859871E-2</v>
      </c>
      <c r="AB73" s="156"/>
      <c r="AC73" s="157">
        <f>SUM(AC70:AC72)</f>
        <v>19114.707551994834</v>
      </c>
      <c r="AD73" s="559">
        <f>AC73/$E$6</f>
        <v>23.698011568541254</v>
      </c>
      <c r="AE73" s="559">
        <f>AC73/($E$7/100)</f>
        <v>6.3576905754984683</v>
      </c>
      <c r="AF73" s="411">
        <f>AC73/AF$9</f>
        <v>2.2400456649777824E-2</v>
      </c>
      <c r="AH73" s="156"/>
      <c r="AI73" s="157">
        <f>SUM(AI70:AI72)</f>
        <v>0</v>
      </c>
      <c r="AJ73" s="559">
        <f>AI73/$E$6</f>
        <v>0</v>
      </c>
      <c r="AK73" s="559">
        <f>AI73/($E$7/100)</f>
        <v>0</v>
      </c>
      <c r="AL73" s="411">
        <f>AI73/AL$9</f>
        <v>0</v>
      </c>
      <c r="AN73" s="156"/>
      <c r="AO73" s="157">
        <f>SUM(AO70:AO72)</f>
        <v>0</v>
      </c>
      <c r="AP73" s="559">
        <f>AO73/$E$6</f>
        <v>0</v>
      </c>
      <c r="AQ73" s="559">
        <f>AO73/($E$7/100)</f>
        <v>0</v>
      </c>
      <c r="AR73" s="411">
        <f>AO73/AR$9</f>
        <v>0</v>
      </c>
    </row>
    <row r="74" spans="1:44" ht="15.75" hidden="1">
      <c r="B74" s="34"/>
      <c r="C74" s="36"/>
      <c r="D74" s="36"/>
      <c r="E74" s="95"/>
      <c r="F74" s="96"/>
      <c r="G74" s="97"/>
      <c r="H74" s="98"/>
      <c r="J74" s="191"/>
      <c r="L74" s="99"/>
      <c r="M74" s="99"/>
      <c r="N74" s="97"/>
    </row>
    <row r="75" spans="1:44" ht="15.75" hidden="1">
      <c r="A75" s="21"/>
      <c r="B75" s="17">
        <v>10</v>
      </c>
      <c r="C75" s="18" t="s">
        <v>19</v>
      </c>
      <c r="D75" s="18"/>
      <c r="E75" s="18"/>
      <c r="F75" s="18"/>
      <c r="G75" s="68" t="s">
        <v>67</v>
      </c>
      <c r="H75" s="91"/>
      <c r="J75" s="184" t="s">
        <v>86</v>
      </c>
      <c r="L75" s="69" t="s">
        <v>278</v>
      </c>
      <c r="M75" s="69" t="s">
        <v>279</v>
      </c>
      <c r="N75" s="138" t="s">
        <v>83</v>
      </c>
      <c r="Q75" s="69" t="s">
        <v>67</v>
      </c>
      <c r="R75" s="69" t="s">
        <v>278</v>
      </c>
      <c r="S75" s="69" t="s">
        <v>279</v>
      </c>
      <c r="T75" s="138" t="s">
        <v>83</v>
      </c>
      <c r="W75" s="69" t="s">
        <v>67</v>
      </c>
      <c r="X75" s="69" t="s">
        <v>278</v>
      </c>
      <c r="Y75" s="69" t="s">
        <v>279</v>
      </c>
      <c r="Z75" s="138" t="s">
        <v>83</v>
      </c>
      <c r="AC75" s="69" t="s">
        <v>67</v>
      </c>
      <c r="AD75" s="69" t="s">
        <v>278</v>
      </c>
      <c r="AE75" s="69" t="s">
        <v>279</v>
      </c>
      <c r="AF75" s="138" t="s">
        <v>83</v>
      </c>
      <c r="AI75" s="69" t="s">
        <v>67</v>
      </c>
      <c r="AJ75" s="69" t="s">
        <v>278</v>
      </c>
      <c r="AK75" s="69" t="s">
        <v>279</v>
      </c>
      <c r="AL75" s="138" t="s">
        <v>83</v>
      </c>
      <c r="AO75" s="69" t="s">
        <v>67</v>
      </c>
      <c r="AP75" s="69" t="s">
        <v>278</v>
      </c>
      <c r="AQ75" s="69" t="s">
        <v>279</v>
      </c>
      <c r="AR75" s="138" t="s">
        <v>83</v>
      </c>
    </row>
    <row r="76" spans="1:44" ht="15.75" hidden="1">
      <c r="B76" s="37"/>
      <c r="C76" s="568" t="s">
        <v>302</v>
      </c>
      <c r="D76" s="30"/>
      <c r="E76" s="105"/>
      <c r="F76" s="106"/>
      <c r="G76" s="72">
        <v>4821.4485333333341</v>
      </c>
      <c r="H76" s="82"/>
      <c r="J76" s="186">
        <f t="shared" ref="J76:J81" si="94">IF($D$2=$L$2,L76,IF($D$2=$M$2,M76,IF($D$2=$N$2,N76,IF($D$2=$R$2,R76,IF($D$2=$S$2,S76,IF($D$2=$T$2,T76,IF($D$2=$X$2,X76,IF($D$2=$Y$2,Y76,IF($D$2=$Z$2,Z76,IF($D$2=$AD$2,AD76,IF($D$2=$AE$2,AE76,IF($D$2=$AF$2,AF76,IF($D$2=$AJ$2,AJ76,IF($D$2=$AK$2,AK76,IF($D$2=$AL$2,AL76,IF($D$2=$AP$2,AP76,IF($D$2=$AQ$2,AQ76,IF($D$2=$AR$2,AR76))))))))))))))))))</f>
        <v>6.5625651547155517</v>
      </c>
      <c r="L76" s="74">
        <v>5.9775302765819944</v>
      </c>
      <c r="M76" s="74">
        <v>1.6036488037937697</v>
      </c>
      <c r="N76" s="140"/>
      <c r="P76" s="153">
        <f>12.33/11.75</f>
        <v>1.0493617021276596</v>
      </c>
      <c r="Q76" s="137">
        <f>G76*P76</f>
        <v>5059.4434396595752</v>
      </c>
      <c r="R76" s="544">
        <f t="shared" ref="R76:R81" si="95">Q76/$E$6</f>
        <v>6.2725913455537015</v>
      </c>
      <c r="S76" s="544">
        <f t="shared" ref="S76:S81" si="96">Q76/($E$7/100)</f>
        <v>1.6828076383640154</v>
      </c>
      <c r="V76" s="153">
        <f>12.9/11.75</f>
        <v>1.0978723404255319</v>
      </c>
      <c r="W76" s="137">
        <f>G76*V76</f>
        <v>5293.3349855319157</v>
      </c>
      <c r="X76" s="544">
        <f t="shared" ref="X76:X81" si="97">W76/$E$6</f>
        <v>6.5625651547155517</v>
      </c>
      <c r="Y76" s="544">
        <f t="shared" ref="Y76:Y81" si="98">W76/($E$7/100)</f>
        <v>1.7606016654416705</v>
      </c>
      <c r="AB76" s="153">
        <f>13.37/12.9</f>
        <v>1.0364341085271318</v>
      </c>
      <c r="AC76" s="137">
        <f>W76*AB76</f>
        <v>5486.1929268652493</v>
      </c>
      <c r="AD76" s="544">
        <f t="shared" ref="AD76:AD81" si="99">AC76/$E$6</f>
        <v>6.8016663657788312</v>
      </c>
      <c r="AE76" s="544">
        <f t="shared" ref="AE76:AE81" si="100">AC76/($E$7/100)</f>
        <v>1.8247476175934214</v>
      </c>
      <c r="AH76" s="153"/>
      <c r="AI76" s="137">
        <f>AC76*AH76</f>
        <v>0</v>
      </c>
      <c r="AJ76" s="544">
        <f>AI76/$E$6</f>
        <v>0</v>
      </c>
      <c r="AK76" s="544">
        <f>AI76/($E$7/100)</f>
        <v>0</v>
      </c>
      <c r="AN76" s="153"/>
      <c r="AO76" s="137">
        <f>AI76*AN76</f>
        <v>0</v>
      </c>
      <c r="AP76" s="544">
        <f>AO76/$E$6</f>
        <v>0</v>
      </c>
      <c r="AQ76" s="544">
        <f>AO76/($E$7/100)</f>
        <v>0</v>
      </c>
    </row>
    <row r="77" spans="1:44" ht="15.75" hidden="1">
      <c r="B77" s="38"/>
      <c r="C77" s="569" t="s">
        <v>303</v>
      </c>
      <c r="D77" s="25"/>
      <c r="E77" s="107"/>
      <c r="F77" s="108"/>
      <c r="G77" s="73">
        <v>4502.6501333333335</v>
      </c>
      <c r="H77" s="82"/>
      <c r="I77" s="57"/>
      <c r="J77" s="186">
        <f t="shared" si="94"/>
        <v>6.1286425987129336</v>
      </c>
      <c r="K77" s="57"/>
      <c r="L77" s="74">
        <v>5.5822907391377496</v>
      </c>
      <c r="M77" s="74">
        <v>1.4976141402944334</v>
      </c>
      <c r="N77" s="140"/>
      <c r="P77" s="154" t="s">
        <v>324</v>
      </c>
      <c r="Q77" s="137">
        <f>G77*P76</f>
        <v>4724.9086079999997</v>
      </c>
      <c r="R77" s="544">
        <f t="shared" si="95"/>
        <v>5.857842111793059</v>
      </c>
      <c r="S77" s="544">
        <f t="shared" si="96"/>
        <v>1.571538923389818</v>
      </c>
      <c r="V77" s="154" t="s">
        <v>357</v>
      </c>
      <c r="W77" s="137">
        <f>G77*V76</f>
        <v>4943.3350399999999</v>
      </c>
      <c r="X77" s="544">
        <f t="shared" si="97"/>
        <v>6.1286425987129336</v>
      </c>
      <c r="Y77" s="544">
        <f t="shared" si="98"/>
        <v>1.6441891412594205</v>
      </c>
      <c r="AB77" s="153">
        <f t="shared" ref="AB77:AB78" si="101">13.37/12.9</f>
        <v>1.0364341085271318</v>
      </c>
      <c r="AC77" s="137">
        <f t="shared" ref="AC77:AC80" si="102">W77*AB77</f>
        <v>5123.441045333333</v>
      </c>
      <c r="AD77" s="544">
        <f t="shared" si="99"/>
        <v>6.3519342282784432</v>
      </c>
      <c r="AE77" s="544">
        <f t="shared" si="100"/>
        <v>1.7040937068711977</v>
      </c>
      <c r="AH77" s="153"/>
      <c r="AI77" s="137">
        <f t="shared" ref="AI77:AI80" si="103">AC77*AH77</f>
        <v>0</v>
      </c>
      <c r="AJ77" s="544">
        <f>AI77/$E$6</f>
        <v>0</v>
      </c>
      <c r="AK77" s="544">
        <f>AI77/($E$7/100)</f>
        <v>0</v>
      </c>
      <c r="AN77" s="153"/>
      <c r="AO77" s="137">
        <f t="shared" ref="AO77:AO80" si="104">AI77*AN77</f>
        <v>0</v>
      </c>
      <c r="AP77" s="544">
        <f>AO77/$E$6</f>
        <v>0</v>
      </c>
      <c r="AQ77" s="544">
        <f>AO77/($E$7/100)</f>
        <v>0</v>
      </c>
    </row>
    <row r="78" spans="1:44" ht="15.75" hidden="1">
      <c r="B78" s="38"/>
      <c r="C78" s="569" t="s">
        <v>304</v>
      </c>
      <c r="D78" s="25"/>
      <c r="E78" s="107"/>
      <c r="F78" s="108"/>
      <c r="G78" s="73">
        <v>809.79176190476198</v>
      </c>
      <c r="H78" s="82"/>
      <c r="I78" s="57"/>
      <c r="J78" s="186">
        <f t="shared" si="94"/>
        <v>1.1022229445178431</v>
      </c>
      <c r="K78" s="57"/>
      <c r="L78" s="74">
        <v>1.0039627595414462</v>
      </c>
      <c r="M78" s="74">
        <v>0.26934262210257626</v>
      </c>
      <c r="N78" s="140"/>
      <c r="P78" s="154" t="s">
        <v>324</v>
      </c>
      <c r="Q78" s="137">
        <f>G78*P76</f>
        <v>849.76446164133745</v>
      </c>
      <c r="R78" s="544">
        <f t="shared" si="95"/>
        <v>1.0535200702251941</v>
      </c>
      <c r="S78" s="544">
        <f t="shared" si="96"/>
        <v>0.28263783238508638</v>
      </c>
      <c r="V78" s="154" t="s">
        <v>357</v>
      </c>
      <c r="W78" s="137">
        <f>G78*V76</f>
        <v>889.04797689969621</v>
      </c>
      <c r="X78" s="544">
        <f t="shared" si="97"/>
        <v>1.1022229445178431</v>
      </c>
      <c r="Y78" s="544">
        <f t="shared" si="98"/>
        <v>0.29570381490410502</v>
      </c>
      <c r="AB78" s="153">
        <f t="shared" si="101"/>
        <v>1.0364341085271318</v>
      </c>
      <c r="AC78" s="137">
        <f t="shared" si="102"/>
        <v>921.43964737588669</v>
      </c>
      <c r="AD78" s="544">
        <f t="shared" si="99"/>
        <v>1.142381454899501</v>
      </c>
      <c r="AE78" s="544">
        <f t="shared" si="100"/>
        <v>0.30647751978820809</v>
      </c>
      <c r="AH78" s="153"/>
      <c r="AI78" s="137">
        <f t="shared" si="103"/>
        <v>0</v>
      </c>
      <c r="AJ78" s="544">
        <f>AI78/$E$6</f>
        <v>0</v>
      </c>
      <c r="AK78" s="544">
        <f>AI78/($E$7/100)</f>
        <v>0</v>
      </c>
      <c r="AN78" s="153"/>
      <c r="AO78" s="137">
        <f t="shared" si="104"/>
        <v>0</v>
      </c>
      <c r="AP78" s="544">
        <f>AO78/$E$6</f>
        <v>0</v>
      </c>
      <c r="AQ78" s="544">
        <f>AO78/($E$7/100)</f>
        <v>0</v>
      </c>
    </row>
    <row r="79" spans="1:44" ht="15.75" hidden="1">
      <c r="B79" s="38"/>
      <c r="C79" s="569" t="s">
        <v>189</v>
      </c>
      <c r="D79" s="25"/>
      <c r="E79" s="107"/>
      <c r="F79" s="108"/>
      <c r="G79" s="73">
        <v>2570.5558571428573</v>
      </c>
      <c r="H79" s="82"/>
      <c r="I79" s="57"/>
      <c r="J79" s="186">
        <f t="shared" si="94"/>
        <v>3.3444141633608977</v>
      </c>
      <c r="K79" s="57"/>
      <c r="L79" s="74">
        <v>3.1869209756126002</v>
      </c>
      <c r="M79" s="74">
        <v>0.85498554985969311</v>
      </c>
      <c r="N79" s="140"/>
      <c r="P79" s="153">
        <f>141.6/137.6</f>
        <v>1.0290697674418605</v>
      </c>
      <c r="Q79" s="137">
        <f>G79*P79</f>
        <v>2645.2813181063125</v>
      </c>
      <c r="R79" s="544">
        <f t="shared" si="95"/>
        <v>3.2795640272292457</v>
      </c>
      <c r="S79" s="544">
        <f t="shared" si="96"/>
        <v>0.87983978096026561</v>
      </c>
      <c r="V79" s="153">
        <f>144.4/137.6</f>
        <v>1.0494186046511629</v>
      </c>
      <c r="W79" s="137">
        <f>G79*V79</f>
        <v>2697.5891407807312</v>
      </c>
      <c r="X79" s="544">
        <f t="shared" si="97"/>
        <v>3.3444141633608977</v>
      </c>
      <c r="Y79" s="544">
        <f t="shared" si="98"/>
        <v>0.89723774273066637</v>
      </c>
      <c r="AB79" s="153">
        <f>148.9/144.4</f>
        <v>1.0311634349030472</v>
      </c>
      <c r="AC79" s="137">
        <f t="shared" ref="AC79" si="105">W79*AB79</f>
        <v>2781.6552843646186</v>
      </c>
      <c r="AD79" s="544">
        <f t="shared" si="99"/>
        <v>3.4486375964296241</v>
      </c>
      <c r="AE79" s="544">
        <f t="shared" si="100"/>
        <v>0.92519875271881058</v>
      </c>
      <c r="AH79" s="153"/>
      <c r="AI79" s="137"/>
      <c r="AJ79" s="544"/>
      <c r="AK79" s="544"/>
      <c r="AN79" s="153"/>
      <c r="AO79" s="137"/>
      <c r="AP79" s="544"/>
      <c r="AQ79" s="544"/>
    </row>
    <row r="80" spans="1:44" hidden="1">
      <c r="B80" s="38"/>
      <c r="C80" s="569" t="s">
        <v>233</v>
      </c>
      <c r="D80" s="40"/>
      <c r="E80" s="107"/>
      <c r="F80" s="108"/>
      <c r="G80" s="73">
        <v>7909.0591101006166</v>
      </c>
      <c r="H80" s="82"/>
      <c r="I80" s="57"/>
      <c r="J80" s="186">
        <f t="shared" si="94"/>
        <v>10.290058172896194</v>
      </c>
      <c r="K80" s="57"/>
      <c r="L80" s="74">
        <v>9.8054847963332143</v>
      </c>
      <c r="M80" s="74">
        <v>2.6306105091364249</v>
      </c>
      <c r="N80" s="140"/>
      <c r="P80" s="154" t="s">
        <v>324</v>
      </c>
      <c r="Q80" s="137">
        <f>G80*P76</f>
        <v>8299.4637300034556</v>
      </c>
      <c r="R80" s="544">
        <f t="shared" si="95"/>
        <v>10.289500216067109</v>
      </c>
      <c r="S80" s="544">
        <f t="shared" si="96"/>
        <v>2.7604619215023081</v>
      </c>
      <c r="V80" s="153">
        <f>144.4/137.6</f>
        <v>1.0494186046511629</v>
      </c>
      <c r="W80" s="137">
        <f>G80*V80</f>
        <v>8299.913775425357</v>
      </c>
      <c r="X80" s="544">
        <f t="shared" si="97"/>
        <v>10.290058172896194</v>
      </c>
      <c r="Y80" s="544">
        <f t="shared" si="98"/>
        <v>2.760611609878632</v>
      </c>
      <c r="AB80" s="153">
        <f>148.9/144.4</f>
        <v>1.0311634349030472</v>
      </c>
      <c r="AC80" s="137">
        <f t="shared" si="102"/>
        <v>8558.5675980667293</v>
      </c>
      <c r="AD80" s="544">
        <f t="shared" si="99"/>
        <v>10.610731730915813</v>
      </c>
      <c r="AE80" s="544">
        <f t="shared" si="100"/>
        <v>2.8466417500756811</v>
      </c>
      <c r="AH80" s="153"/>
      <c r="AI80" s="137">
        <f t="shared" si="103"/>
        <v>0</v>
      </c>
      <c r="AJ80" s="544">
        <f>AI80/$E$6</f>
        <v>0</v>
      </c>
      <c r="AK80" s="544">
        <f>AI80/($E$7/100)</f>
        <v>0</v>
      </c>
      <c r="AN80" s="153"/>
      <c r="AO80" s="137">
        <f t="shared" si="104"/>
        <v>0</v>
      </c>
      <c r="AP80" s="544">
        <f>AO80/$E$6</f>
        <v>0</v>
      </c>
      <c r="AQ80" s="544">
        <f>AO80/($E$7/100)</f>
        <v>0</v>
      </c>
    </row>
    <row r="81" spans="1:44" ht="15.75" hidden="1">
      <c r="B81" s="39"/>
      <c r="C81" s="27" t="s">
        <v>6</v>
      </c>
      <c r="D81" s="27"/>
      <c r="E81" s="75"/>
      <c r="F81" s="76"/>
      <c r="G81" s="77">
        <v>20613.505395814904</v>
      </c>
      <c r="H81" s="102"/>
      <c r="J81" s="187">
        <f t="shared" si="94"/>
        <v>27.427903034203421</v>
      </c>
      <c r="L81" s="79">
        <v>25.556189547207005</v>
      </c>
      <c r="M81" s="79">
        <v>6.8562016251868982</v>
      </c>
      <c r="N81" s="203">
        <f>G81/$N$9</f>
        <v>2.8647472858289207E-2</v>
      </c>
      <c r="P81" s="156"/>
      <c r="Q81" s="157">
        <f>SUM(Q76:Q80)</f>
        <v>21578.861557410681</v>
      </c>
      <c r="R81" s="559">
        <f t="shared" si="95"/>
        <v>26.753017770868311</v>
      </c>
      <c r="S81" s="559">
        <f t="shared" si="96"/>
        <v>7.1772860966014935</v>
      </c>
      <c r="T81" s="411">
        <f>Q81/T$9</f>
        <v>2.8869981338007739E-2</v>
      </c>
      <c r="V81" s="156"/>
      <c r="W81" s="157">
        <f>SUM(W76:W80)</f>
        <v>22123.2209186377</v>
      </c>
      <c r="X81" s="559">
        <f t="shared" si="97"/>
        <v>27.427903034203421</v>
      </c>
      <c r="Y81" s="559">
        <f t="shared" si="98"/>
        <v>7.3583439742144945</v>
      </c>
      <c r="Z81" s="411">
        <f>W81/Z$9</f>
        <v>2.8977671751435438E-2</v>
      </c>
      <c r="AB81" s="156"/>
      <c r="AC81" s="157">
        <f>SUM(AC76:AC80)</f>
        <v>22871.296502005818</v>
      </c>
      <c r="AD81" s="559">
        <f t="shared" si="99"/>
        <v>28.355351376302213</v>
      </c>
      <c r="AE81" s="559">
        <f t="shared" si="100"/>
        <v>7.6071593470473191</v>
      </c>
      <c r="AF81" s="411">
        <f>AC81/AF$9</f>
        <v>2.6802789654185914E-2</v>
      </c>
      <c r="AH81" s="156"/>
      <c r="AI81" s="157">
        <f>SUM(AI76:AI80)</f>
        <v>0</v>
      </c>
      <c r="AJ81" s="559">
        <f>AI81/$E$6</f>
        <v>0</v>
      </c>
      <c r="AK81" s="559">
        <f>AI81/($E$7/100)</f>
        <v>0</v>
      </c>
      <c r="AL81" s="411">
        <f>AI81/AL$9</f>
        <v>0</v>
      </c>
      <c r="AN81" s="156"/>
      <c r="AO81" s="157">
        <f>SUM(AO76:AO80)</f>
        <v>0</v>
      </c>
      <c r="AP81" s="559">
        <f>AO81/$E$6</f>
        <v>0</v>
      </c>
      <c r="AQ81" s="559">
        <f>AO81/($E$7/100)</f>
        <v>0</v>
      </c>
      <c r="AR81" s="411">
        <f>AO81/AR$9</f>
        <v>0</v>
      </c>
    </row>
    <row r="82" spans="1:44" ht="15.75" hidden="1">
      <c r="B82" s="34"/>
      <c r="C82" s="36"/>
      <c r="D82" s="36"/>
      <c r="E82" s="95"/>
      <c r="F82" s="96"/>
      <c r="G82" s="97"/>
      <c r="H82" s="98"/>
      <c r="J82" s="191"/>
      <c r="L82" s="99"/>
      <c r="M82" s="99"/>
      <c r="N82" s="97"/>
    </row>
    <row r="83" spans="1:44" ht="15.75" hidden="1">
      <c r="A83" s="21"/>
      <c r="B83" s="17">
        <v>11</v>
      </c>
      <c r="C83" s="18" t="s">
        <v>20</v>
      </c>
      <c r="D83" s="18" t="s">
        <v>65</v>
      </c>
      <c r="E83" s="18"/>
      <c r="F83" s="18" t="s">
        <v>66</v>
      </c>
      <c r="G83" s="68" t="s">
        <v>67</v>
      </c>
      <c r="H83" s="91"/>
      <c r="J83" s="184" t="s">
        <v>86</v>
      </c>
      <c r="L83" s="69" t="s">
        <v>278</v>
      </c>
      <c r="M83" s="69" t="s">
        <v>279</v>
      </c>
      <c r="N83" s="138" t="s">
        <v>83</v>
      </c>
      <c r="Q83" s="69" t="s">
        <v>67</v>
      </c>
      <c r="R83" s="69" t="s">
        <v>278</v>
      </c>
      <c r="S83" s="69" t="s">
        <v>279</v>
      </c>
      <c r="T83" s="138" t="s">
        <v>83</v>
      </c>
      <c r="W83" s="69" t="s">
        <v>67</v>
      </c>
      <c r="X83" s="69" t="s">
        <v>278</v>
      </c>
      <c r="Y83" s="69" t="s">
        <v>279</v>
      </c>
      <c r="Z83" s="138" t="s">
        <v>83</v>
      </c>
      <c r="AC83" s="69" t="s">
        <v>67</v>
      </c>
      <c r="AD83" s="69" t="s">
        <v>278</v>
      </c>
      <c r="AE83" s="69" t="s">
        <v>279</v>
      </c>
      <c r="AF83" s="138" t="s">
        <v>83</v>
      </c>
      <c r="AI83" s="69" t="s">
        <v>67</v>
      </c>
      <c r="AJ83" s="69" t="s">
        <v>278</v>
      </c>
      <c r="AK83" s="69" t="s">
        <v>279</v>
      </c>
      <c r="AL83" s="138" t="s">
        <v>83</v>
      </c>
      <c r="AO83" s="69" t="s">
        <v>67</v>
      </c>
      <c r="AP83" s="69" t="s">
        <v>278</v>
      </c>
      <c r="AQ83" s="69" t="s">
        <v>279</v>
      </c>
      <c r="AR83" s="138" t="s">
        <v>83</v>
      </c>
    </row>
    <row r="84" spans="1:44" ht="15.75" hidden="1">
      <c r="B84" s="22"/>
      <c r="C84" s="30" t="s">
        <v>190</v>
      </c>
      <c r="D84" s="30">
        <v>25.737039682539681</v>
      </c>
      <c r="E84" s="70"/>
      <c r="F84" s="106">
        <v>281.15129706213668</v>
      </c>
      <c r="G84" s="72">
        <v>7236.0020892857137</v>
      </c>
      <c r="H84" s="82"/>
      <c r="J84" s="186">
        <f t="shared" ref="J84:J87" si="106">IF($D$2=$L$2,L84,IF($D$2=$M$2,M84,IF($D$2=$N$2,N84,IF($D$2=$R$2,R84,IF($D$2=$S$2,S84,IF($D$2=$T$2,T84,IF($D$2=$X$2,X84,IF($D$2=$Y$2,Y84,IF($D$2=$Z$2,Z84,IF($D$2=$AD$2,AD84,IF($D$2=$AE$2,AE84,IF($D$2=$AF$2,AF84,IF($D$2=$AJ$2,AJ84,IF($D$2=$AK$2,AK84,IF($D$2=$AL$2,AL84,IF($D$2=$AP$2,AP84,IF($D$2=$AQ$2,AQ84,IF($D$2=$AR$2,AR84))))))))))))))))))</f>
        <v>10.392955142926471</v>
      </c>
      <c r="L84" s="74">
        <v>8.9710428870247512</v>
      </c>
      <c r="M84" s="74">
        <v>2.406746855121932</v>
      </c>
      <c r="N84" s="221"/>
      <c r="P84" s="153">
        <v>1.0752999999999999</v>
      </c>
      <c r="Q84" s="137">
        <f>G84*P84</f>
        <v>7780.8730466089273</v>
      </c>
      <c r="R84" s="544">
        <f>Q84/$E$6</f>
        <v>9.6465624164177139</v>
      </c>
      <c r="S84" s="544">
        <f>Q84/($E$7/100)</f>
        <v>2.5879748933126132</v>
      </c>
      <c r="V84" s="153">
        <v>1.1585000000000001</v>
      </c>
      <c r="W84" s="597">
        <v>8382.91</v>
      </c>
      <c r="X84" s="544">
        <f>W84/$E$6</f>
        <v>10.392955142926471</v>
      </c>
      <c r="Y84" s="544">
        <f>W84/($E$7/100)</f>
        <v>2.7882167570327194</v>
      </c>
      <c r="AB84" s="153">
        <v>1.046</v>
      </c>
      <c r="AC84" s="137">
        <f>W84*AB84</f>
        <v>8768.5238599999993</v>
      </c>
      <c r="AD84" s="544">
        <f>AC84/$E$6</f>
        <v>10.871031079501089</v>
      </c>
      <c r="AE84" s="544">
        <f>AC84/($E$7/100)</f>
        <v>2.9164747278562242</v>
      </c>
      <c r="AH84" s="153"/>
      <c r="AI84" s="137">
        <f>AC84*AH84</f>
        <v>0</v>
      </c>
      <c r="AJ84" s="544">
        <f>AI84/$E$6</f>
        <v>0</v>
      </c>
      <c r="AK84" s="544">
        <f>AI84/($E$7/100)</f>
        <v>0</v>
      </c>
      <c r="AN84" s="153"/>
      <c r="AO84" s="137">
        <f>AI84*AN84</f>
        <v>0</v>
      </c>
      <c r="AP84" s="544">
        <f>AO84/$E$6</f>
        <v>0</v>
      </c>
      <c r="AQ84" s="544">
        <f>AO84/($E$7/100)</f>
        <v>0</v>
      </c>
    </row>
    <row r="85" spans="1:44" ht="15.75" hidden="1">
      <c r="B85" s="24"/>
      <c r="C85" s="25" t="s">
        <v>41</v>
      </c>
      <c r="D85" s="25"/>
      <c r="E85" s="109"/>
      <c r="F85" s="108"/>
      <c r="G85" s="73">
        <v>2694.0248815476189</v>
      </c>
      <c r="H85" s="82"/>
      <c r="I85" s="57"/>
      <c r="J85" s="186">
        <f t="shared" si="106"/>
        <v>3.4605949116059533</v>
      </c>
      <c r="K85" s="57"/>
      <c r="L85" s="74">
        <v>3.3399952698826785</v>
      </c>
      <c r="M85" s="74">
        <v>0.89605224421998542</v>
      </c>
      <c r="N85" s="221"/>
      <c r="P85" s="153">
        <f>147.1/144</f>
        <v>1.0215277777777778</v>
      </c>
      <c r="Q85" s="137">
        <f t="shared" ref="Q85:Q86" si="107">G85*P85</f>
        <v>2752.0212505253803</v>
      </c>
      <c r="R85" s="544">
        <f t="shared" ref="R85:R86" si="108">Q85/$E$6</f>
        <v>3.4118979458315417</v>
      </c>
      <c r="S85" s="544">
        <f>Q85/($E$7/100)</f>
        <v>0.91534225781083245</v>
      </c>
      <c r="V85" s="153">
        <f>149.2/144</f>
        <v>1.036111111111111</v>
      </c>
      <c r="W85" s="597">
        <v>2791.3</v>
      </c>
      <c r="X85" s="544">
        <f>W85/$E$6</f>
        <v>3.4605949116059533</v>
      </c>
      <c r="Y85" s="544">
        <f>W85/($E$7/100)</f>
        <v>0.9284066551955622</v>
      </c>
      <c r="AB85" s="153">
        <f>151.6/149.2</f>
        <v>1.0160857908847185</v>
      </c>
      <c r="AC85" s="137">
        <f t="shared" ref="AC85:AC86" si="109">W85*AB85</f>
        <v>2836.2002680965152</v>
      </c>
      <c r="AD85" s="544">
        <f>AC85/$E$6</f>
        <v>3.516261317690768</v>
      </c>
      <c r="AE85" s="544">
        <f>AC85/($E$7/100)</f>
        <v>0.94334081050701901</v>
      </c>
      <c r="AH85" s="153"/>
      <c r="AI85" s="137">
        <f t="shared" ref="AI85:AI86" si="110">AC85*AH85</f>
        <v>0</v>
      </c>
      <c r="AJ85" s="544">
        <f>AI85/$E$6</f>
        <v>0</v>
      </c>
      <c r="AK85" s="544">
        <f>AI85/($E$7/100)</f>
        <v>0</v>
      </c>
      <c r="AN85" s="153"/>
      <c r="AO85" s="137">
        <f t="shared" ref="AO85:AO86" si="111">AI85*AN85</f>
        <v>0</v>
      </c>
      <c r="AP85" s="544">
        <f>AO85/$E$6</f>
        <v>0</v>
      </c>
      <c r="AQ85" s="544">
        <f>AO85/($E$7/100)</f>
        <v>0</v>
      </c>
    </row>
    <row r="86" spans="1:44" hidden="1">
      <c r="B86" s="24"/>
      <c r="C86" s="40" t="s">
        <v>191</v>
      </c>
      <c r="D86" s="40"/>
      <c r="E86" s="109"/>
      <c r="F86" s="108"/>
      <c r="G86" s="73">
        <v>1402.6335870614348</v>
      </c>
      <c r="H86" s="82"/>
      <c r="I86" s="57"/>
      <c r="J86" s="186">
        <f t="shared" si="106"/>
        <v>1.8039155283323218</v>
      </c>
      <c r="K86" s="57"/>
      <c r="L86" s="74">
        <v>1.7389555598582764</v>
      </c>
      <c r="M86" s="74">
        <v>0.46652611938117006</v>
      </c>
      <c r="N86" s="221"/>
      <c r="P86" s="153">
        <f>131.9/130.1</f>
        <v>1.013835511145273</v>
      </c>
      <c r="Q86" s="137">
        <f t="shared" si="107"/>
        <v>1422.0397396879575</v>
      </c>
      <c r="R86" s="544">
        <f t="shared" si="108"/>
        <v>1.76301489888783</v>
      </c>
      <c r="S86" s="544">
        <f>Q86/($E$7/100)</f>
        <v>0.47298074670542922</v>
      </c>
      <c r="V86" s="153">
        <f>135/130.1</f>
        <v>1.037663335895465</v>
      </c>
      <c r="W86" s="597">
        <v>1455.03</v>
      </c>
      <c r="X86" s="544">
        <f>W86/$E$6</f>
        <v>1.8039155283323218</v>
      </c>
      <c r="Y86" s="544">
        <f>W86/($E$7/100)</f>
        <v>0.48395354691692</v>
      </c>
      <c r="AB86" s="153">
        <f>141.9/135</f>
        <v>1.0511111111111111</v>
      </c>
      <c r="AC86" s="137">
        <f t="shared" si="109"/>
        <v>1529.3981999999999</v>
      </c>
      <c r="AD86" s="544">
        <f>AC86/$E$6</f>
        <v>1.8961156553359737</v>
      </c>
      <c r="AE86" s="544">
        <f>AC86/($E$7/100)</f>
        <v>0.50868895042600693</v>
      </c>
      <c r="AH86" s="153"/>
      <c r="AI86" s="137">
        <f t="shared" si="110"/>
        <v>0</v>
      </c>
      <c r="AJ86" s="544">
        <f>AI86/$E$6</f>
        <v>0</v>
      </c>
      <c r="AK86" s="544">
        <f>AI86/($E$7/100)</f>
        <v>0</v>
      </c>
      <c r="AN86" s="153"/>
      <c r="AO86" s="137">
        <f t="shared" si="111"/>
        <v>0</v>
      </c>
      <c r="AP86" s="544">
        <f>AO86/$E$6</f>
        <v>0</v>
      </c>
      <c r="AQ86" s="544">
        <f>AO86/($E$7/100)</f>
        <v>0</v>
      </c>
    </row>
    <row r="87" spans="1:44" ht="15.75" hidden="1">
      <c r="B87" s="26"/>
      <c r="C87" s="27" t="s">
        <v>6</v>
      </c>
      <c r="D87" s="27"/>
      <c r="E87" s="75"/>
      <c r="F87" s="76"/>
      <c r="G87" s="77">
        <v>11332.660557894767</v>
      </c>
      <c r="H87" s="102"/>
      <c r="J87" s="187">
        <f t="shared" si="106"/>
        <v>15.657465582864747</v>
      </c>
      <c r="L87" s="79">
        <v>14.049993716765705</v>
      </c>
      <c r="M87" s="79">
        <v>3.769325218723087</v>
      </c>
      <c r="N87" s="203">
        <f>G87/$N$9</f>
        <v>1.5749484598112463E-2</v>
      </c>
      <c r="P87" s="156"/>
      <c r="Q87" s="157">
        <f>SUM(Q84:Q86)</f>
        <v>11954.934036822266</v>
      </c>
      <c r="R87" s="559">
        <f>Q87/$E$6</f>
        <v>14.821475261137087</v>
      </c>
      <c r="S87" s="559">
        <f>Q87/($E$7/100)</f>
        <v>3.976297897828875</v>
      </c>
      <c r="T87" s="411">
        <f>Q87/T$9</f>
        <v>1.5994297086615476E-2</v>
      </c>
      <c r="V87" s="156"/>
      <c r="W87" s="157">
        <f>SUM(W84:W86)</f>
        <v>12629.24</v>
      </c>
      <c r="X87" s="559">
        <f>W87/$E$6</f>
        <v>15.657465582864747</v>
      </c>
      <c r="Y87" s="559">
        <f>W87/($E$7/100)</f>
        <v>4.2005769591452014</v>
      </c>
      <c r="Z87" s="411">
        <f>W87/Z$9</f>
        <v>1.6542165019099483E-2</v>
      </c>
      <c r="AB87" s="156"/>
      <c r="AC87" s="157">
        <f>SUM(AC84:AC86)</f>
        <v>13134.122328096513</v>
      </c>
      <c r="AD87" s="559">
        <f>AC87/$E$6</f>
        <v>16.283408052527829</v>
      </c>
      <c r="AE87" s="559">
        <f>AC87/($E$7/100)</f>
        <v>4.3685044887892497</v>
      </c>
      <c r="AF87" s="411">
        <f>AC87/AF$9</f>
        <v>1.5391830455323958E-2</v>
      </c>
      <c r="AH87" s="156"/>
      <c r="AI87" s="157">
        <f>SUM(AI84:AI86)</f>
        <v>0</v>
      </c>
      <c r="AJ87" s="559">
        <f>AI87/$E$6</f>
        <v>0</v>
      </c>
      <c r="AK87" s="559">
        <f>AI87/($E$7/100)</f>
        <v>0</v>
      </c>
      <c r="AL87" s="411">
        <f>AI87/AL$9</f>
        <v>0</v>
      </c>
      <c r="AN87" s="156"/>
      <c r="AO87" s="157">
        <f>SUM(AO84:AO86)</f>
        <v>0</v>
      </c>
      <c r="AP87" s="559">
        <f>AO87/$E$6</f>
        <v>0</v>
      </c>
      <c r="AQ87" s="559">
        <f>AO87/($E$7/100)</f>
        <v>0</v>
      </c>
      <c r="AR87" s="411">
        <f>AO87/AR$9</f>
        <v>0</v>
      </c>
    </row>
    <row r="88" spans="1:44" ht="15.75" hidden="1">
      <c r="C88" s="41"/>
      <c r="D88" s="41"/>
      <c r="E88" s="28"/>
      <c r="F88" s="41"/>
      <c r="G88" s="28"/>
      <c r="H88" s="110"/>
      <c r="J88" s="182"/>
      <c r="L88" s="28"/>
      <c r="M88" s="28"/>
      <c r="N88" s="144"/>
    </row>
    <row r="89" spans="1:44" ht="15.75" hidden="1">
      <c r="A89" s="21"/>
      <c r="B89" s="17">
        <v>12</v>
      </c>
      <c r="C89" s="18" t="s">
        <v>22</v>
      </c>
      <c r="D89" s="18" t="s">
        <v>65</v>
      </c>
      <c r="E89" s="18"/>
      <c r="F89" s="18" t="s">
        <v>66</v>
      </c>
      <c r="G89" s="68" t="s">
        <v>67</v>
      </c>
      <c r="H89" s="91"/>
      <c r="J89" s="184" t="s">
        <v>86</v>
      </c>
      <c r="L89" s="69" t="s">
        <v>278</v>
      </c>
      <c r="M89" s="69" t="s">
        <v>279</v>
      </c>
      <c r="N89" s="138" t="s">
        <v>83</v>
      </c>
      <c r="Q89" s="69" t="s">
        <v>67</v>
      </c>
      <c r="R89" s="69" t="s">
        <v>278</v>
      </c>
      <c r="S89" s="69" t="s">
        <v>279</v>
      </c>
      <c r="T89" s="138" t="s">
        <v>83</v>
      </c>
      <c r="W89" s="69" t="s">
        <v>67</v>
      </c>
      <c r="X89" s="69" t="s">
        <v>278</v>
      </c>
      <c r="Y89" s="69" t="s">
        <v>279</v>
      </c>
      <c r="Z89" s="138" t="s">
        <v>83</v>
      </c>
      <c r="AC89" s="69" t="s">
        <v>67</v>
      </c>
      <c r="AD89" s="69" t="s">
        <v>278</v>
      </c>
      <c r="AE89" s="69" t="s">
        <v>279</v>
      </c>
      <c r="AF89" s="138" t="s">
        <v>83</v>
      </c>
      <c r="AI89" s="69" t="s">
        <v>67</v>
      </c>
      <c r="AJ89" s="69" t="s">
        <v>278</v>
      </c>
      <c r="AK89" s="69" t="s">
        <v>279</v>
      </c>
      <c r="AL89" s="138" t="s">
        <v>83</v>
      </c>
      <c r="AO89" s="69" t="s">
        <v>67</v>
      </c>
      <c r="AP89" s="69" t="s">
        <v>278</v>
      </c>
      <c r="AQ89" s="69" t="s">
        <v>279</v>
      </c>
      <c r="AR89" s="138" t="s">
        <v>83</v>
      </c>
    </row>
    <row r="90" spans="1:44" ht="15.75" hidden="1">
      <c r="B90" s="22"/>
      <c r="C90" s="30" t="s">
        <v>192</v>
      </c>
      <c r="D90" s="30">
        <v>806.59541821514301</v>
      </c>
      <c r="E90" s="105"/>
      <c r="F90" s="111">
        <v>2.7000000000000011</v>
      </c>
      <c r="G90" s="72">
        <v>2177.807629180887</v>
      </c>
      <c r="H90" s="82"/>
      <c r="J90" s="192">
        <f t="shared" ref="J90:J91" si="112">IF($D$2=$L$2,L90,IF($D$2=$M$2,M90,IF($D$2=$N$2,N90,IF($D$2=$R$2,R90,IF($D$2=$S$2,S90,IF($D$2=$T$2,T90,IF($D$2=$X$2,X90,IF($D$2=$Y$2,Y90,IF($D$2=$Z$2,Z90,IF($D$2=$AD$2,AD90,IF($D$2=$AE$2,AE90,IF($D$2=$AF$2,AF90,IF($D$2=$AJ$2,AJ90,IF($D$2=$AK$2,AK90,IF($D$2=$AL$2,AL90,IF($D$2=$AP$2,AP90,IF($D$2=$AQ$2,AQ90,IF($D$2=$AR$2,AR90))))))))))))))))))</f>
        <v>4.550906088857678</v>
      </c>
      <c r="L90" s="74">
        <v>2.7000000000000006</v>
      </c>
      <c r="M90" s="74">
        <v>0.72435463643005216</v>
      </c>
      <c r="N90" s="140"/>
      <c r="P90" s="158">
        <v>2.84</v>
      </c>
      <c r="Q90" s="137">
        <f>D90*P90</f>
        <v>2290.7309877310058</v>
      </c>
      <c r="R90" s="544">
        <f>Q90/$E$6</f>
        <v>2.839999999999999</v>
      </c>
      <c r="S90" s="544">
        <f>Q90/($E$7/100)</f>
        <v>0.76191376572642477</v>
      </c>
      <c r="W90" s="597">
        <v>3670.74</v>
      </c>
      <c r="X90" s="544">
        <f>W90/$E$6</f>
        <v>4.550906088857678</v>
      </c>
      <c r="Y90" s="544">
        <f>W90/($E$7/100)</f>
        <v>1.220914787193264</v>
      </c>
      <c r="AB90" s="158"/>
      <c r="AC90" s="598">
        <v>21489.59</v>
      </c>
      <c r="AD90" s="544">
        <f>AC90/$E$6</f>
        <v>26.642340775444477</v>
      </c>
      <c r="AE90" s="544">
        <f>AC90/($E$7/100)</f>
        <v>7.1475937281639386</v>
      </c>
      <c r="AH90" s="158"/>
      <c r="AI90" s="137">
        <f>$D90*AH90</f>
        <v>0</v>
      </c>
      <c r="AJ90" s="544">
        <f>AI90/$E$6</f>
        <v>0</v>
      </c>
      <c r="AK90" s="544">
        <f>AI90/($E$7/100)</f>
        <v>0</v>
      </c>
      <c r="AN90" s="158"/>
      <c r="AO90" s="137">
        <f>$D90*AN90</f>
        <v>0</v>
      </c>
      <c r="AP90" s="544">
        <f>AO90/$E$6</f>
        <v>0</v>
      </c>
      <c r="AQ90" s="544">
        <f>AO90/($E$7/100)</f>
        <v>0</v>
      </c>
    </row>
    <row r="91" spans="1:44" ht="15.75" hidden="1">
      <c r="B91" s="31"/>
      <c r="C91" s="27" t="s">
        <v>6</v>
      </c>
      <c r="D91" s="27"/>
      <c r="E91" s="101"/>
      <c r="F91" s="101"/>
      <c r="G91" s="77">
        <v>2177.807629180887</v>
      </c>
      <c r="H91" s="102"/>
      <c r="J91" s="187">
        <f t="shared" si="112"/>
        <v>4.550906088857678</v>
      </c>
      <c r="L91" s="79">
        <v>2.7000000000000006</v>
      </c>
      <c r="M91" s="79">
        <v>0.72435463643005216</v>
      </c>
      <c r="N91" s="203">
        <f>G91/$N$9</f>
        <v>3.0265926997647477E-3</v>
      </c>
      <c r="P91" s="156"/>
      <c r="Q91" s="157">
        <f>SUM(Q90:Q90)</f>
        <v>2290.7309877310058</v>
      </c>
      <c r="R91" s="559">
        <f>Q91/$E$6</f>
        <v>2.839999999999999</v>
      </c>
      <c r="S91" s="559">
        <f>Q91/($E$7/100)</f>
        <v>0.76191376572642477</v>
      </c>
      <c r="T91" s="411">
        <f>Q91/T$9</f>
        <v>3.0647289102922323E-3</v>
      </c>
      <c r="V91" s="156"/>
      <c r="W91" s="157">
        <f>SUM(W90:W90)</f>
        <v>3670.74</v>
      </c>
      <c r="X91" s="559">
        <f>W91/$E$6</f>
        <v>4.550906088857678</v>
      </c>
      <c r="Y91" s="559">
        <f>W91/($E$7/100)</f>
        <v>1.220914787193264</v>
      </c>
      <c r="Z91" s="411">
        <f>W91/Z$9</f>
        <v>4.8080475802351709E-3</v>
      </c>
      <c r="AB91" s="156"/>
      <c r="AC91" s="157">
        <f>SUM(AC90:AC90)</f>
        <v>21489.59</v>
      </c>
      <c r="AD91" s="559">
        <f>AC91/$E$6</f>
        <v>26.642340775444477</v>
      </c>
      <c r="AE91" s="559">
        <f>AC91/($E$7/100)</f>
        <v>7.1475937281639386</v>
      </c>
      <c r="AF91" s="411">
        <f>AC91/AF$9</f>
        <v>2.5183572801576137E-2</v>
      </c>
      <c r="AH91" s="156"/>
      <c r="AI91" s="157">
        <f>SUM(AI90:AI90)</f>
        <v>0</v>
      </c>
      <c r="AJ91" s="559">
        <f>AI91/$E$6</f>
        <v>0</v>
      </c>
      <c r="AK91" s="559">
        <f>AI91/($E$7/100)</f>
        <v>0</v>
      </c>
      <c r="AL91" s="411">
        <f>AI91/AL$9</f>
        <v>0</v>
      </c>
      <c r="AN91" s="156"/>
      <c r="AO91" s="157">
        <f>SUM(AO90:AO90)</f>
        <v>0</v>
      </c>
      <c r="AP91" s="559">
        <f>AO91/$E$6</f>
        <v>0</v>
      </c>
      <c r="AQ91" s="559">
        <f>AO91/($E$7/100)</f>
        <v>0</v>
      </c>
      <c r="AR91" s="411">
        <f>AO91/AR$9</f>
        <v>0</v>
      </c>
    </row>
    <row r="92" spans="1:44" ht="15.75" hidden="1">
      <c r="B92" s="28"/>
      <c r="C92" s="42"/>
      <c r="D92" s="42"/>
      <c r="E92" s="95"/>
      <c r="F92" s="96"/>
      <c r="G92" s="95"/>
      <c r="H92" s="95"/>
      <c r="J92" s="193"/>
      <c r="L92" s="95"/>
      <c r="M92" s="95"/>
      <c r="N92" s="145"/>
    </row>
    <row r="93" spans="1:44" ht="15.75" hidden="1">
      <c r="A93" s="21"/>
      <c r="B93" s="17">
        <v>13</v>
      </c>
      <c r="C93" s="18" t="s">
        <v>45</v>
      </c>
      <c r="D93" s="18" t="s">
        <v>65</v>
      </c>
      <c r="E93" s="18"/>
      <c r="F93" s="18" t="s">
        <v>66</v>
      </c>
      <c r="G93" s="68" t="s">
        <v>67</v>
      </c>
      <c r="H93" s="112"/>
      <c r="J93" s="184" t="s">
        <v>86</v>
      </c>
      <c r="L93" s="69" t="s">
        <v>278</v>
      </c>
      <c r="M93" s="69" t="s">
        <v>279</v>
      </c>
      <c r="N93" s="138" t="s">
        <v>83</v>
      </c>
      <c r="Q93" s="69" t="s">
        <v>67</v>
      </c>
      <c r="R93" s="69" t="s">
        <v>278</v>
      </c>
      <c r="S93" s="69" t="s">
        <v>279</v>
      </c>
      <c r="T93" s="138" t="s">
        <v>83</v>
      </c>
      <c r="W93" s="69" t="s">
        <v>67</v>
      </c>
      <c r="X93" s="69" t="s">
        <v>278</v>
      </c>
      <c r="Y93" s="69" t="s">
        <v>279</v>
      </c>
      <c r="Z93" s="138" t="s">
        <v>83</v>
      </c>
      <c r="AC93" s="69" t="s">
        <v>67</v>
      </c>
      <c r="AD93" s="69" t="s">
        <v>278</v>
      </c>
      <c r="AE93" s="69" t="s">
        <v>279</v>
      </c>
      <c r="AF93" s="138" t="s">
        <v>83</v>
      </c>
      <c r="AI93" s="69" t="s">
        <v>67</v>
      </c>
      <c r="AJ93" s="69" t="s">
        <v>278</v>
      </c>
      <c r="AK93" s="69" t="s">
        <v>279</v>
      </c>
      <c r="AL93" s="138" t="s">
        <v>83</v>
      </c>
      <c r="AO93" s="69" t="s">
        <v>67</v>
      </c>
      <c r="AP93" s="69" t="s">
        <v>278</v>
      </c>
      <c r="AQ93" s="69" t="s">
        <v>279</v>
      </c>
      <c r="AR93" s="138" t="s">
        <v>83</v>
      </c>
    </row>
    <row r="94" spans="1:44" hidden="1">
      <c r="B94" s="22"/>
      <c r="C94" s="23" t="s">
        <v>193</v>
      </c>
      <c r="D94" s="23">
        <v>1.730666666666667</v>
      </c>
      <c r="E94" s="113"/>
      <c r="F94" s="106">
        <v>26.8</v>
      </c>
      <c r="G94" s="72">
        <v>46.381866666666674</v>
      </c>
      <c r="H94" s="82"/>
      <c r="J94" s="186">
        <f t="shared" ref="J94:J102" si="113">IF($D$2=$L$2,L94,IF($D$2=$M$2,M94,IF($D$2=$N$2,N94,IF($D$2=$R$2,R94,IF($D$2=$S$2,S94,IF($D$2=$T$2,T94,IF($D$2=$X$2,X94,IF($D$2=$Y$2,Y94,IF($D$2=$Z$2,Z94,IF($D$2=$AD$2,AD94,IF($D$2=$AE$2,AE94,IF($D$2=$AF$2,AF94,IF($D$2=$AJ$2,AJ94,IF($D$2=$AK$2,AK94,IF($D$2=$AL$2,AL94,IF($D$2=$AP$2,AP94,IF($D$2=$AQ$2,AQ94,IF($D$2=$AR$2,AR94))))))))))))))))))</f>
        <v>6.7845265128202811E-2</v>
      </c>
      <c r="L94" s="74">
        <v>5.7503260766471699E-2</v>
      </c>
      <c r="M94" s="74">
        <v>1.5426945757792621E-2</v>
      </c>
      <c r="N94" s="140"/>
      <c r="P94" s="158">
        <v>37.729999999999997</v>
      </c>
      <c r="Q94" s="137">
        <f>D94*P94</f>
        <v>65.298053333333343</v>
      </c>
      <c r="R94" s="544">
        <f t="shared" ref="R94:R99" si="114">Q94/$E$6</f>
        <v>8.0955150325334971E-2</v>
      </c>
      <c r="S94" s="544">
        <f t="shared" ref="S94:S102" si="115">Q94/($E$7/100)</f>
        <v>2.1718606844832671E-2</v>
      </c>
      <c r="V94" s="158">
        <v>31.62</v>
      </c>
      <c r="W94" s="137">
        <f>$D94*V94</f>
        <v>54.723680000000016</v>
      </c>
      <c r="X94" s="544">
        <f t="shared" ref="X94:X99" si="116">W94/$E$6</f>
        <v>6.7845265128202811E-2</v>
      </c>
      <c r="Y94" s="544">
        <f t="shared" ref="Y94:Y102" si="117">W94/($E$7/100)</f>
        <v>1.8201493464977715E-2</v>
      </c>
      <c r="AB94" s="158"/>
      <c r="AC94" s="137">
        <v>18.3</v>
      </c>
      <c r="AD94" s="544">
        <f t="shared" ref="AD94:AD99" si="118">AC94/$E$6</f>
        <v>2.2687954316049492E-2</v>
      </c>
      <c r="AE94" s="544">
        <f t="shared" ref="AE94:AE102" si="119">AC94/($E$7/100)</f>
        <v>6.0867129259050577E-3</v>
      </c>
      <c r="AH94" s="158"/>
      <c r="AI94" s="137">
        <f>$D94*AH94</f>
        <v>0</v>
      </c>
      <c r="AJ94" s="544">
        <f t="shared" ref="AJ94:AJ99" si="120">AI94/$E$6</f>
        <v>0</v>
      </c>
      <c r="AK94" s="544">
        <f t="shared" ref="AK94:AK102" si="121">AI94/($E$7/100)</f>
        <v>0</v>
      </c>
      <c r="AN94" s="158"/>
      <c r="AO94" s="137">
        <f>$D94*AN94</f>
        <v>0</v>
      </c>
      <c r="AP94" s="544">
        <f t="shared" ref="AP94:AP99" si="122">AO94/$E$6</f>
        <v>0</v>
      </c>
      <c r="AQ94" s="544">
        <f t="shared" ref="AQ94:AQ102" si="123">AO94/($E$7/100)</f>
        <v>0</v>
      </c>
    </row>
    <row r="95" spans="1:44" hidden="1">
      <c r="B95" s="24"/>
      <c r="C95" s="43" t="s">
        <v>194</v>
      </c>
      <c r="D95" s="43">
        <v>5.8455595238095235</v>
      </c>
      <c r="E95" s="405"/>
      <c r="F95" s="108">
        <v>78.12</v>
      </c>
      <c r="G95" s="73">
        <v>456.65511000000004</v>
      </c>
      <c r="H95" s="82"/>
      <c r="I95" s="57"/>
      <c r="J95" s="186">
        <f t="shared" si="113"/>
        <v>0</v>
      </c>
      <c r="K95" s="57"/>
      <c r="L95" s="74">
        <v>0.56615138108582275</v>
      </c>
      <c r="M95" s="74">
        <v>0.15188680659658996</v>
      </c>
      <c r="N95" s="140"/>
      <c r="P95" s="158">
        <v>48.3</v>
      </c>
      <c r="Q95" s="137">
        <f>D95*P95</f>
        <v>282.34052499999996</v>
      </c>
      <c r="R95" s="544">
        <f t="shared" si="114"/>
        <v>0.350039832391772</v>
      </c>
      <c r="S95" s="544">
        <f t="shared" si="115"/>
        <v>9.390850945488087E-2</v>
      </c>
      <c r="U95" s="561"/>
      <c r="V95" s="158">
        <v>34.4</v>
      </c>
      <c r="W95" s="598"/>
      <c r="X95" s="544">
        <f t="shared" si="116"/>
        <v>0</v>
      </c>
      <c r="Y95" s="544">
        <f t="shared" si="117"/>
        <v>0</v>
      </c>
      <c r="AB95" s="158"/>
      <c r="AC95" s="137">
        <v>35.4</v>
      </c>
      <c r="AD95" s="544">
        <f t="shared" si="118"/>
        <v>4.3888173922849834E-2</v>
      </c>
      <c r="AE95" s="544">
        <f t="shared" si="119"/>
        <v>1.1774297135357324E-2</v>
      </c>
      <c r="AH95" s="158"/>
      <c r="AI95" s="137">
        <f>$D95*AH95</f>
        <v>0</v>
      </c>
      <c r="AJ95" s="544">
        <f t="shared" si="120"/>
        <v>0</v>
      </c>
      <c r="AK95" s="544">
        <f t="shared" si="121"/>
        <v>0</v>
      </c>
      <c r="AN95" s="158"/>
      <c r="AO95" s="137">
        <f>$D95*AN95</f>
        <v>0</v>
      </c>
      <c r="AP95" s="544">
        <f t="shared" si="122"/>
        <v>0</v>
      </c>
      <c r="AQ95" s="544">
        <f t="shared" si="123"/>
        <v>0</v>
      </c>
    </row>
    <row r="96" spans="1:44" hidden="1">
      <c r="B96" s="24"/>
      <c r="C96" s="43" t="s">
        <v>195</v>
      </c>
      <c r="D96" s="43">
        <v>1.8694761904761907</v>
      </c>
      <c r="E96" s="109"/>
      <c r="F96" s="108">
        <v>54.99</v>
      </c>
      <c r="G96" s="73">
        <v>102.80249571428573</v>
      </c>
      <c r="H96" s="82"/>
      <c r="I96" s="57"/>
      <c r="J96" s="186">
        <f t="shared" si="113"/>
        <v>7.9730159011673879E-2</v>
      </c>
      <c r="K96" s="57"/>
      <c r="L96" s="74">
        <v>0.12745236755964962</v>
      </c>
      <c r="M96" s="74">
        <v>3.4192856802155315E-2</v>
      </c>
      <c r="N96" s="140"/>
      <c r="P96" s="154" t="s">
        <v>325</v>
      </c>
      <c r="Q96" s="137">
        <f>D96*P95</f>
        <v>90.295700000000011</v>
      </c>
      <c r="R96" s="544">
        <f t="shared" si="114"/>
        <v>0.11194670582162351</v>
      </c>
      <c r="S96" s="544">
        <f t="shared" si="115"/>
        <v>3.0033005701838544E-2</v>
      </c>
      <c r="V96" s="154" t="s">
        <v>358</v>
      </c>
      <c r="W96" s="137">
        <f>$D96*V95</f>
        <v>64.309980952380954</v>
      </c>
      <c r="X96" s="544">
        <f t="shared" si="116"/>
        <v>7.9730159011673879E-2</v>
      </c>
      <c r="Y96" s="544">
        <f t="shared" si="117"/>
        <v>2.1389966793856022E-2</v>
      </c>
      <c r="AB96" s="158"/>
      <c r="AC96" s="137">
        <f>$D96*AB96</f>
        <v>0</v>
      </c>
      <c r="AD96" s="544">
        <f t="shared" si="118"/>
        <v>0</v>
      </c>
      <c r="AE96" s="544">
        <f t="shared" si="119"/>
        <v>0</v>
      </c>
      <c r="AH96" s="158"/>
      <c r="AI96" s="137">
        <f>$D96*AH96</f>
        <v>0</v>
      </c>
      <c r="AJ96" s="544">
        <f t="shared" si="120"/>
        <v>0</v>
      </c>
      <c r="AK96" s="544">
        <f t="shared" si="121"/>
        <v>0</v>
      </c>
      <c r="AN96" s="158"/>
      <c r="AO96" s="137">
        <f>$D96*AN96</f>
        <v>0</v>
      </c>
      <c r="AP96" s="544">
        <f t="shared" si="122"/>
        <v>0</v>
      </c>
      <c r="AQ96" s="544">
        <f t="shared" si="123"/>
        <v>0</v>
      </c>
    </row>
    <row r="97" spans="1:44" ht="15.75" hidden="1">
      <c r="B97" s="24"/>
      <c r="C97" s="44" t="s">
        <v>196</v>
      </c>
      <c r="D97" s="44">
        <v>2.3697500000000002</v>
      </c>
      <c r="E97" s="64"/>
      <c r="F97" s="82">
        <v>73.400000000000006</v>
      </c>
      <c r="G97" s="73">
        <v>173.93965000000003</v>
      </c>
      <c r="H97" s="82"/>
      <c r="I97" s="57"/>
      <c r="J97" s="186">
        <f t="shared" si="113"/>
        <v>8.3232579783999075E-2</v>
      </c>
      <c r="K97" s="57"/>
      <c r="L97" s="74">
        <v>0.21564671218304035</v>
      </c>
      <c r="M97" s="74">
        <v>5.7853591037289716E-2</v>
      </c>
      <c r="N97" s="140"/>
      <c r="P97" s="158">
        <v>54.81</v>
      </c>
      <c r="Q97" s="137">
        <f>D97*P97</f>
        <v>129.88599750000003</v>
      </c>
      <c r="R97" s="544">
        <f t="shared" si="114"/>
        <v>0.16102992227183163</v>
      </c>
      <c r="S97" s="544">
        <f t="shared" si="115"/>
        <v>4.3201026222804494E-2</v>
      </c>
      <c r="V97" s="158">
        <v>28.33</v>
      </c>
      <c r="W97" s="137">
        <f>$D97*V97</f>
        <v>67.135017500000004</v>
      </c>
      <c r="X97" s="544">
        <f t="shared" si="116"/>
        <v>8.3232579783999075E-2</v>
      </c>
      <c r="Y97" s="544">
        <f t="shared" si="117"/>
        <v>2.2329594469842201E-2</v>
      </c>
      <c r="AB97" s="158"/>
      <c r="AC97" s="137">
        <v>112.17</v>
      </c>
      <c r="AD97" s="544">
        <f t="shared" si="118"/>
        <v>0.13906600194706401</v>
      </c>
      <c r="AE97" s="544">
        <f t="shared" si="119"/>
        <v>3.7308556770424606E-2</v>
      </c>
      <c r="AH97" s="158"/>
      <c r="AI97" s="137">
        <f>$D97*AH97</f>
        <v>0</v>
      </c>
      <c r="AJ97" s="544">
        <f t="shared" si="120"/>
        <v>0</v>
      </c>
      <c r="AK97" s="544">
        <f t="shared" si="121"/>
        <v>0</v>
      </c>
      <c r="AN97" s="158"/>
      <c r="AO97" s="137">
        <f>$D97*AN97</f>
        <v>0</v>
      </c>
      <c r="AP97" s="544">
        <f t="shared" si="122"/>
        <v>0</v>
      </c>
      <c r="AQ97" s="544">
        <f t="shared" si="123"/>
        <v>0</v>
      </c>
    </row>
    <row r="98" spans="1:44" ht="15.75" hidden="1">
      <c r="B98" s="24"/>
      <c r="C98" s="44" t="s">
        <v>197</v>
      </c>
      <c r="D98" s="44">
        <v>0.21857142857142858</v>
      </c>
      <c r="E98" s="64"/>
      <c r="F98" s="82">
        <v>103.94</v>
      </c>
      <c r="G98" s="73">
        <v>22.718314285714285</v>
      </c>
      <c r="H98" s="82"/>
      <c r="J98" s="186">
        <f t="shared" si="113"/>
        <v>1.8890033270248782E-2</v>
      </c>
      <c r="L98" s="74">
        <v>2.8165687248739902E-2</v>
      </c>
      <c r="M98" s="74">
        <v>7.5562763506902006E-3</v>
      </c>
      <c r="N98" s="140"/>
      <c r="P98" s="158">
        <v>94.38</v>
      </c>
      <c r="Q98" s="137">
        <f>D98*P98</f>
        <v>20.628771428571429</v>
      </c>
      <c r="R98" s="544">
        <f t="shared" si="114"/>
        <v>2.5575116052877354E-2</v>
      </c>
      <c r="S98" s="544">
        <f t="shared" si="115"/>
        <v>6.8612792185697626E-3</v>
      </c>
      <c r="V98" s="158">
        <v>69.709999999999994</v>
      </c>
      <c r="W98" s="137">
        <f>$D98*V98</f>
        <v>15.236614285714285</v>
      </c>
      <c r="X98" s="544">
        <f t="shared" si="116"/>
        <v>1.8890033270248782E-2</v>
      </c>
      <c r="Y98" s="544">
        <f t="shared" si="117"/>
        <v>5.0678085857861635E-3</v>
      </c>
      <c r="AB98" s="158"/>
      <c r="AC98" s="137">
        <v>15.26</v>
      </c>
      <c r="AD98" s="544">
        <f t="shared" si="118"/>
        <v>1.8919026385951651E-2</v>
      </c>
      <c r="AE98" s="544">
        <f t="shared" si="119"/>
        <v>5.0755868442246546E-3</v>
      </c>
      <c r="AH98" s="158"/>
      <c r="AI98" s="137">
        <f>$D98*AH98</f>
        <v>0</v>
      </c>
      <c r="AJ98" s="544">
        <f t="shared" si="120"/>
        <v>0</v>
      </c>
      <c r="AK98" s="544">
        <f t="shared" si="121"/>
        <v>0</v>
      </c>
      <c r="AN98" s="158"/>
      <c r="AO98" s="137">
        <f>$D98*AN98</f>
        <v>0</v>
      </c>
      <c r="AP98" s="544">
        <f t="shared" si="122"/>
        <v>0</v>
      </c>
      <c r="AQ98" s="544">
        <f t="shared" si="123"/>
        <v>0</v>
      </c>
    </row>
    <row r="99" spans="1:44" ht="15.75" hidden="1">
      <c r="B99" s="24"/>
      <c r="C99" s="44" t="s">
        <v>198</v>
      </c>
      <c r="D99" s="44"/>
      <c r="E99" s="64"/>
      <c r="F99" s="82"/>
      <c r="G99" s="73">
        <v>672.11717440476195</v>
      </c>
      <c r="H99" s="82"/>
      <c r="J99" s="186">
        <f t="shared" si="113"/>
        <v>0.83327670753702221</v>
      </c>
      <c r="L99" s="74">
        <v>0.83327670753702221</v>
      </c>
      <c r="M99" s="74">
        <v>0.22355105427170757</v>
      </c>
      <c r="N99" s="140"/>
      <c r="Q99" s="137">
        <f>$G99</f>
        <v>672.11717440476195</v>
      </c>
      <c r="R99" s="544">
        <f t="shared" si="114"/>
        <v>0.83327670753702221</v>
      </c>
      <c r="S99" s="544">
        <f t="shared" si="115"/>
        <v>0.22355105427170757</v>
      </c>
      <c r="W99" s="137">
        <f>$G99</f>
        <v>672.11717440476195</v>
      </c>
      <c r="X99" s="544">
        <f t="shared" si="116"/>
        <v>0.83327670753702221</v>
      </c>
      <c r="Y99" s="544">
        <f t="shared" si="117"/>
        <v>0.22355105427170757</v>
      </c>
      <c r="AC99" s="137">
        <f>$G99</f>
        <v>672.11717440476195</v>
      </c>
      <c r="AD99" s="544">
        <f t="shared" si="118"/>
        <v>0.83327670753702221</v>
      </c>
      <c r="AE99" s="544">
        <f t="shared" si="119"/>
        <v>0.22355105427170757</v>
      </c>
      <c r="AI99" s="137">
        <f>$G99</f>
        <v>672.11717440476195</v>
      </c>
      <c r="AJ99" s="544">
        <f t="shared" si="120"/>
        <v>0.83327670753702221</v>
      </c>
      <c r="AK99" s="544">
        <f t="shared" si="121"/>
        <v>0.22355105427170757</v>
      </c>
      <c r="AO99" s="137">
        <f>$G99</f>
        <v>672.11717440476195</v>
      </c>
      <c r="AP99" s="544">
        <f t="shared" si="122"/>
        <v>0.83327670753702221</v>
      </c>
      <c r="AQ99" s="544">
        <f t="shared" si="123"/>
        <v>0.22355105427170757</v>
      </c>
    </row>
    <row r="100" spans="1:44" ht="15.75" hidden="1">
      <c r="B100" s="24"/>
      <c r="C100" s="44" t="s">
        <v>199</v>
      </c>
      <c r="D100" s="44"/>
      <c r="E100" s="64"/>
      <c r="F100" s="82"/>
      <c r="G100" s="73">
        <v>630.91667614628898</v>
      </c>
      <c r="H100" s="82"/>
      <c r="J100" s="186">
        <f t="shared" si="113"/>
        <v>0.78219719812244781</v>
      </c>
      <c r="L100" s="74">
        <v>0.78219719812244781</v>
      </c>
      <c r="M100" s="74">
        <v>0.20984746928244111</v>
      </c>
      <c r="N100" s="140"/>
      <c r="Q100" s="137">
        <f>$G100</f>
        <v>630.91667614628898</v>
      </c>
      <c r="R100" s="544">
        <f t="shared" ref="R100:R101" si="124">Q100/$E$6</f>
        <v>0.78219719812244781</v>
      </c>
      <c r="S100" s="544">
        <f t="shared" si="115"/>
        <v>0.20984746928244111</v>
      </c>
      <c r="W100" s="137">
        <f>$G100</f>
        <v>630.91667614628898</v>
      </c>
      <c r="X100" s="544">
        <f t="shared" ref="X100:X101" si="125">W100/$E$6</f>
        <v>0.78219719812244781</v>
      </c>
      <c r="Y100" s="544">
        <f t="shared" si="117"/>
        <v>0.20984746928244111</v>
      </c>
      <c r="AC100" s="137">
        <f>$G100</f>
        <v>630.91667614628898</v>
      </c>
      <c r="AD100" s="544">
        <f t="shared" ref="AD100:AD101" si="126">AC100/$E$6</f>
        <v>0.78219719812244781</v>
      </c>
      <c r="AE100" s="544">
        <f t="shared" si="119"/>
        <v>0.20984746928244111</v>
      </c>
      <c r="AI100" s="137">
        <f>$G100</f>
        <v>630.91667614628898</v>
      </c>
      <c r="AJ100" s="544">
        <f t="shared" ref="AJ100:AJ101" si="127">AI100/$E$6</f>
        <v>0.78219719812244781</v>
      </c>
      <c r="AK100" s="544">
        <f t="shared" si="121"/>
        <v>0.20984746928244111</v>
      </c>
      <c r="AO100" s="137">
        <f>$G100</f>
        <v>630.91667614628898</v>
      </c>
      <c r="AP100" s="544">
        <f t="shared" ref="AP100:AP101" si="128">AO100/$E$6</f>
        <v>0.78219719812244781</v>
      </c>
      <c r="AQ100" s="544">
        <f t="shared" si="123"/>
        <v>0.20984746928244111</v>
      </c>
    </row>
    <row r="101" spans="1:44" ht="15.75" hidden="1">
      <c r="B101" s="24"/>
      <c r="C101" s="44" t="s">
        <v>46</v>
      </c>
      <c r="D101" s="44"/>
      <c r="E101" s="64"/>
      <c r="F101" s="82"/>
      <c r="G101" s="73">
        <v>84.496369047619069</v>
      </c>
      <c r="H101" s="82"/>
      <c r="J101" s="186">
        <f t="shared" si="113"/>
        <v>0.10475681753139014</v>
      </c>
      <c r="L101" s="74">
        <v>0.10475681753139014</v>
      </c>
      <c r="M101" s="74">
        <v>2.8104106102414591E-2</v>
      </c>
      <c r="N101" s="140"/>
      <c r="Q101" s="137">
        <f>$G101</f>
        <v>84.496369047619069</v>
      </c>
      <c r="R101" s="544">
        <f t="shared" si="124"/>
        <v>0.10475681753139014</v>
      </c>
      <c r="S101" s="544">
        <f t="shared" si="115"/>
        <v>2.8104106102414591E-2</v>
      </c>
      <c r="W101" s="137">
        <f>$G101</f>
        <v>84.496369047619069</v>
      </c>
      <c r="X101" s="544">
        <f t="shared" si="125"/>
        <v>0.10475681753139014</v>
      </c>
      <c r="Y101" s="544">
        <f t="shared" si="117"/>
        <v>2.8104106102414591E-2</v>
      </c>
      <c r="AC101" s="137">
        <f>$G101</f>
        <v>84.496369047619069</v>
      </c>
      <c r="AD101" s="544">
        <f t="shared" si="126"/>
        <v>0.10475681753139014</v>
      </c>
      <c r="AE101" s="544">
        <f t="shared" si="119"/>
        <v>2.8104106102414591E-2</v>
      </c>
      <c r="AI101" s="137">
        <f>$G101</f>
        <v>84.496369047619069</v>
      </c>
      <c r="AJ101" s="544">
        <f t="shared" si="127"/>
        <v>0.10475681753139014</v>
      </c>
      <c r="AK101" s="544">
        <f t="shared" si="121"/>
        <v>2.8104106102414591E-2</v>
      </c>
      <c r="AO101" s="137">
        <f>$G101</f>
        <v>84.496369047619069</v>
      </c>
      <c r="AP101" s="544">
        <f t="shared" si="128"/>
        <v>0.10475681753139014</v>
      </c>
      <c r="AQ101" s="544">
        <f t="shared" si="123"/>
        <v>2.8104106102414591E-2</v>
      </c>
    </row>
    <row r="102" spans="1:44" ht="15.75" hidden="1">
      <c r="B102" s="26"/>
      <c r="C102" s="27" t="s">
        <v>6</v>
      </c>
      <c r="D102" s="27"/>
      <c r="E102" s="101"/>
      <c r="F102" s="101"/>
      <c r="G102" s="77">
        <v>2190.0276562653371</v>
      </c>
      <c r="H102" s="102"/>
      <c r="J102" s="187">
        <f t="shared" si="113"/>
        <v>1.9699287603849847</v>
      </c>
      <c r="L102" s="79">
        <v>2.7151501320345846</v>
      </c>
      <c r="M102" s="79">
        <v>0.72841910620108108</v>
      </c>
      <c r="N102" s="203">
        <f>G102/$N$9</f>
        <v>3.0435753956967273E-3</v>
      </c>
      <c r="P102" s="156"/>
      <c r="Q102" s="157">
        <f>SUM(Q94:Q101)</f>
        <v>1975.9792668605749</v>
      </c>
      <c r="R102" s="559">
        <f>Q102/$E$6</f>
        <v>2.4497774500542997</v>
      </c>
      <c r="S102" s="559">
        <f t="shared" si="115"/>
        <v>0.65722505709948964</v>
      </c>
      <c r="T102" s="411">
        <f>Q102/T$9</f>
        <v>2.643628089775845E-3</v>
      </c>
      <c r="V102" s="156"/>
      <c r="W102" s="157">
        <f>SUM(W94:W101)</f>
        <v>1588.9355123367652</v>
      </c>
      <c r="X102" s="559">
        <f>W102/$E$6</f>
        <v>1.9699287603849847</v>
      </c>
      <c r="Y102" s="559">
        <f t="shared" si="117"/>
        <v>0.52849149297102538</v>
      </c>
      <c r="Z102" s="411">
        <f>W102/Z$9</f>
        <v>2.0812363570398658E-3</v>
      </c>
      <c r="AB102" s="156"/>
      <c r="AC102" s="598">
        <f>SUM(AC94:AC101)</f>
        <v>1568.66021959867</v>
      </c>
      <c r="AD102" s="559">
        <f>AC102/$E$6</f>
        <v>1.9447918797627752</v>
      </c>
      <c r="AE102" s="559">
        <f t="shared" si="119"/>
        <v>0.52174778333247496</v>
      </c>
      <c r="AF102" s="411">
        <f>AC102/AF$9</f>
        <v>1.8383072381185268E-3</v>
      </c>
      <c r="AH102" s="156"/>
      <c r="AI102" s="157">
        <f>SUM(AI94:AI101)</f>
        <v>1387.5302195986699</v>
      </c>
      <c r="AJ102" s="559">
        <f>AI102/$E$6</f>
        <v>1.72023072319086</v>
      </c>
      <c r="AK102" s="559">
        <f t="shared" si="121"/>
        <v>0.46150262965656325</v>
      </c>
      <c r="AL102" s="411">
        <f>AI102/AL$9</f>
        <v>2.7061554009247278E-2</v>
      </c>
      <c r="AN102" s="156"/>
      <c r="AO102" s="157">
        <f>SUM(AO94:AO101)</f>
        <v>1387.5302195986699</v>
      </c>
      <c r="AP102" s="559">
        <f>AO102/$E$6</f>
        <v>1.72023072319086</v>
      </c>
      <c r="AQ102" s="559">
        <f t="shared" si="123"/>
        <v>0.46150262965656325</v>
      </c>
      <c r="AR102" s="411">
        <f>AO102/AR$9</f>
        <v>2.7061554009247278E-2</v>
      </c>
    </row>
    <row r="103" spans="1:44" ht="15.75" hidden="1">
      <c r="B103" s="28"/>
      <c r="C103" s="42"/>
      <c r="D103" s="42"/>
      <c r="E103" s="95"/>
      <c r="F103" s="96"/>
      <c r="G103" s="95"/>
      <c r="H103" s="95"/>
      <c r="J103" s="193"/>
      <c r="L103" s="95"/>
      <c r="M103" s="95"/>
      <c r="N103" s="145"/>
    </row>
    <row r="104" spans="1:44" ht="15" hidden="1">
      <c r="B104" s="17">
        <v>14</v>
      </c>
      <c r="C104" s="18" t="s">
        <v>24</v>
      </c>
      <c r="D104" s="18"/>
      <c r="E104" s="18"/>
      <c r="F104" s="18"/>
      <c r="G104" s="68" t="s">
        <v>67</v>
      </c>
      <c r="H104" s="91"/>
      <c r="J104" s="184" t="s">
        <v>86</v>
      </c>
      <c r="L104" s="69" t="s">
        <v>278</v>
      </c>
      <c r="M104" s="69" t="s">
        <v>279</v>
      </c>
      <c r="N104" s="138" t="s">
        <v>83</v>
      </c>
      <c r="Q104" s="69" t="s">
        <v>67</v>
      </c>
      <c r="R104" s="69" t="s">
        <v>278</v>
      </c>
      <c r="S104" s="69" t="s">
        <v>279</v>
      </c>
      <c r="T104" s="138" t="s">
        <v>83</v>
      </c>
      <c r="W104" s="69" t="s">
        <v>67</v>
      </c>
      <c r="X104" s="69" t="s">
        <v>278</v>
      </c>
      <c r="Y104" s="69" t="s">
        <v>279</v>
      </c>
      <c r="Z104" s="138" t="s">
        <v>83</v>
      </c>
      <c r="AC104" s="69" t="s">
        <v>67</v>
      </c>
      <c r="AD104" s="69" t="s">
        <v>278</v>
      </c>
      <c r="AE104" s="69" t="s">
        <v>279</v>
      </c>
      <c r="AF104" s="138" t="s">
        <v>83</v>
      </c>
      <c r="AI104" s="69" t="s">
        <v>67</v>
      </c>
      <c r="AJ104" s="69" t="s">
        <v>278</v>
      </c>
      <c r="AK104" s="69" t="s">
        <v>279</v>
      </c>
      <c r="AL104" s="138" t="s">
        <v>83</v>
      </c>
      <c r="AO104" s="69" t="s">
        <v>67</v>
      </c>
      <c r="AP104" s="69" t="s">
        <v>278</v>
      </c>
      <c r="AQ104" s="69" t="s">
        <v>279</v>
      </c>
      <c r="AR104" s="138" t="s">
        <v>83</v>
      </c>
    </row>
    <row r="105" spans="1:44" ht="15.75" hidden="1">
      <c r="B105" s="22"/>
      <c r="C105" s="30" t="s">
        <v>24</v>
      </c>
      <c r="D105" s="30"/>
      <c r="E105" s="103"/>
      <c r="F105" s="81"/>
      <c r="G105" s="72">
        <v>6412.3445821420501</v>
      </c>
      <c r="H105" s="82"/>
      <c r="J105" s="186">
        <f t="shared" ref="J105:J107" si="129">IF($D$2=$L$2,L105,IF($D$2=$M$2,M105,IF($D$2=$N$2,N105,IF($D$2=$R$2,R105,IF($D$2=$S$2,S105,IF($D$2=$T$2,T105,IF($D$2=$X$2,X105,IF($D$2=$Y$2,Y105,IF($D$2=$Z$2,Z105,IF($D$2=$AD$2,AD105,IF($D$2=$AE$2,AE105,IF($D$2=$AF$2,AF105,IF($D$2=$AJ$2,AJ105,IF($D$2=$AK$2,AK105,IF($D$2=$AL$2,AL105,IF($D$2=$AP$2,AP105,IF($D$2=$AQ$2,AQ105,IF($D$2=$AR$2,AR105))))))))))))))))))</f>
        <v>8.5686513742869295</v>
      </c>
      <c r="L105" s="74">
        <v>7.9498896687653708</v>
      </c>
      <c r="M105" s="74">
        <v>2.1327923854361357</v>
      </c>
      <c r="N105" s="140"/>
      <c r="P105" s="153">
        <f>(11054.85/6601.41)</f>
        <v>1.6746195131040187</v>
      </c>
      <c r="Q105" s="137">
        <f>G105*P105</f>
        <v>10738.237362001912</v>
      </c>
      <c r="R105" s="544">
        <f>Q105/$E$6</f>
        <v>13.313040366338534</v>
      </c>
      <c r="S105" s="544">
        <f>Q105/($E$7/100)</f>
        <v>3.5716157460510201</v>
      </c>
      <c r="V105" s="153">
        <f>6911.43/6412.34</f>
        <v>1.0778327412457855</v>
      </c>
      <c r="W105" s="137">
        <f>G105*V105</f>
        <v>6911.4349387827269</v>
      </c>
      <c r="X105" s="544">
        <f>W105/$E$6</f>
        <v>8.5686513742869295</v>
      </c>
      <c r="Y105" s="544">
        <f>W105/($E$7/100)</f>
        <v>2.298793463302768</v>
      </c>
      <c r="AB105" s="153"/>
      <c r="AC105" s="137">
        <v>5710.36</v>
      </c>
      <c r="AD105" s="544">
        <f>AC105/$E$6</f>
        <v>7.079583978589965</v>
      </c>
      <c r="AE105" s="544">
        <f>AC105/($E$7/100)</f>
        <v>1.899307214402798</v>
      </c>
      <c r="AH105" s="153"/>
      <c r="AI105" s="137">
        <f>AC105*AH105</f>
        <v>0</v>
      </c>
      <c r="AJ105" s="544">
        <f>AI105/$E$6</f>
        <v>0</v>
      </c>
      <c r="AK105" s="544">
        <f>AI105/($E$7/100)</f>
        <v>0</v>
      </c>
      <c r="AN105" s="153"/>
      <c r="AO105" s="137">
        <f>AI105*AN105</f>
        <v>0</v>
      </c>
      <c r="AP105" s="544">
        <f>AO105/$E$6</f>
        <v>0</v>
      </c>
      <c r="AQ105" s="544">
        <f>AO105/($E$7/100)</f>
        <v>0</v>
      </c>
    </row>
    <row r="106" spans="1:44" ht="15.75" hidden="1">
      <c r="B106" s="24"/>
      <c r="C106" s="25" t="s">
        <v>47</v>
      </c>
      <c r="D106" s="25"/>
      <c r="E106" s="82"/>
      <c r="F106" s="20"/>
      <c r="G106" s="73">
        <v>1652.6704547459124</v>
      </c>
      <c r="H106" s="82"/>
      <c r="I106" s="57"/>
      <c r="J106" s="186">
        <f t="shared" si="129"/>
        <v>2.0489459987300545</v>
      </c>
      <c r="K106" s="57"/>
      <c r="L106" s="74">
        <v>2.0489459987300545</v>
      </c>
      <c r="M106" s="74">
        <v>0.54969019776848826</v>
      </c>
      <c r="N106" s="140"/>
      <c r="Q106" s="137">
        <f>G106</f>
        <v>1652.6704547459124</v>
      </c>
      <c r="R106" s="544">
        <f>Q106/$E$6</f>
        <v>2.0489459987300545</v>
      </c>
      <c r="S106" s="544">
        <f>Q106/($E$7/100)</f>
        <v>0.54969019776848826</v>
      </c>
      <c r="W106" s="137">
        <f>G106</f>
        <v>1652.6704547459124</v>
      </c>
      <c r="X106" s="544">
        <f>W106/$E$6</f>
        <v>2.0489459987300545</v>
      </c>
      <c r="Y106" s="544">
        <f>W106/($E$7/100)</f>
        <v>0.54969019776848826</v>
      </c>
      <c r="AC106" s="137">
        <f>W106</f>
        <v>1652.6704547459124</v>
      </c>
      <c r="AD106" s="544">
        <f>AC106/$E$6</f>
        <v>2.0489459987300545</v>
      </c>
      <c r="AE106" s="544">
        <f>AC106/($E$7/100)</f>
        <v>0.54969019776848826</v>
      </c>
      <c r="AI106" s="137">
        <f>AC106</f>
        <v>1652.6704547459124</v>
      </c>
      <c r="AJ106" s="544">
        <f>AI106/$E$6</f>
        <v>2.0489459987300545</v>
      </c>
      <c r="AK106" s="544">
        <f>AI106/($E$7/100)</f>
        <v>0.54969019776848826</v>
      </c>
      <c r="AO106" s="137">
        <f>AI106</f>
        <v>1652.6704547459124</v>
      </c>
      <c r="AP106" s="544">
        <f>AO106/$E$6</f>
        <v>2.0489459987300545</v>
      </c>
      <c r="AQ106" s="544">
        <f>AO106/($E$7/100)</f>
        <v>0.54969019776848826</v>
      </c>
    </row>
    <row r="107" spans="1:44" ht="15.75" hidden="1">
      <c r="B107" s="26"/>
      <c r="C107" s="27" t="s">
        <v>6</v>
      </c>
      <c r="D107" s="27"/>
      <c r="E107" s="101"/>
      <c r="F107" s="101"/>
      <c r="G107" s="77">
        <v>8065.0150368879622</v>
      </c>
      <c r="H107" s="102"/>
      <c r="J107" s="187">
        <f t="shared" si="129"/>
        <v>10.617597373016984</v>
      </c>
      <c r="L107" s="79">
        <v>9.9988356674954257</v>
      </c>
      <c r="M107" s="79">
        <v>2.682482583204624</v>
      </c>
      <c r="N107" s="203">
        <f>G107/$N$9</f>
        <v>1.1208297421255195E-2</v>
      </c>
      <c r="P107" s="156"/>
      <c r="Q107" s="157">
        <f>SUM(Q105:Q106)</f>
        <v>12390.907816747824</v>
      </c>
      <c r="R107" s="559">
        <f>Q107/$E$6</f>
        <v>15.361986365068587</v>
      </c>
      <c r="S107" s="559">
        <f>Q107/($E$7/100)</f>
        <v>4.1213059438195083</v>
      </c>
      <c r="T107" s="411">
        <f>Q107/T$9</f>
        <v>1.657757877906366E-2</v>
      </c>
      <c r="V107" s="156"/>
      <c r="W107" s="157">
        <f>SUM(W105:W106)</f>
        <v>8564.10539352864</v>
      </c>
      <c r="X107" s="559">
        <f>W107/$E$6</f>
        <v>10.617597373016984</v>
      </c>
      <c r="Y107" s="559">
        <f>W107/($E$7/100)</f>
        <v>2.8484836610712563</v>
      </c>
      <c r="Z107" s="411">
        <f>W107/Z$9</f>
        <v>1.121752731444732E-2</v>
      </c>
      <c r="AB107" s="156"/>
      <c r="AC107" s="157">
        <f>SUM(AC105:AC106)</f>
        <v>7363.0304547459118</v>
      </c>
      <c r="AD107" s="559">
        <f>AC107/$E$6</f>
        <v>9.128529977320019</v>
      </c>
      <c r="AE107" s="559">
        <f>AC107/($E$7/100)</f>
        <v>2.4489974121712863</v>
      </c>
      <c r="AF107" s="411">
        <f>AC107/AF$9</f>
        <v>8.6287087607216286E-3</v>
      </c>
      <c r="AH107" s="156"/>
      <c r="AI107" s="157">
        <f>SUM(AI105:AI106)</f>
        <v>1652.6704547459124</v>
      </c>
      <c r="AJ107" s="559">
        <f>AI107/$E$6</f>
        <v>2.0489459987300545</v>
      </c>
      <c r="AK107" s="559">
        <f>AI107/($E$7/100)</f>
        <v>0.54969019776848826</v>
      </c>
      <c r="AL107" s="411">
        <f>AI107/AL$9</f>
        <v>3.2232689521911613E-2</v>
      </c>
      <c r="AN107" s="156"/>
      <c r="AO107" s="157">
        <f>SUM(AO105:AO106)</f>
        <v>1652.6704547459124</v>
      </c>
      <c r="AP107" s="559">
        <f>AO107/$E$6</f>
        <v>2.0489459987300545</v>
      </c>
      <c r="AQ107" s="559">
        <f>AO107/($E$7/100)</f>
        <v>0.54969019776848826</v>
      </c>
      <c r="AR107" s="411">
        <f>AO107/AR$9</f>
        <v>3.2232689521911613E-2</v>
      </c>
    </row>
    <row r="108" spans="1:44" ht="15.75" hidden="1">
      <c r="B108" s="28"/>
      <c r="C108" s="42"/>
      <c r="D108" s="42"/>
      <c r="E108" s="95"/>
      <c r="F108" s="96"/>
      <c r="G108" s="95"/>
      <c r="H108" s="95"/>
      <c r="J108" s="193"/>
      <c r="L108" s="95"/>
      <c r="M108" s="95"/>
      <c r="N108" s="145"/>
    </row>
    <row r="109" spans="1:44" ht="15" hidden="1">
      <c r="B109" s="17">
        <v>15</v>
      </c>
      <c r="C109" s="18" t="s">
        <v>200</v>
      </c>
      <c r="D109" s="18"/>
      <c r="E109" s="18"/>
      <c r="F109" s="18"/>
      <c r="G109" s="68" t="s">
        <v>67</v>
      </c>
      <c r="H109" s="91"/>
      <c r="J109" s="184" t="s">
        <v>86</v>
      </c>
      <c r="L109" s="69" t="s">
        <v>278</v>
      </c>
      <c r="M109" s="69" t="s">
        <v>279</v>
      </c>
      <c r="N109" s="138" t="s">
        <v>83</v>
      </c>
      <c r="Q109" s="69" t="s">
        <v>67</v>
      </c>
      <c r="R109" s="69" t="s">
        <v>278</v>
      </c>
      <c r="S109" s="69" t="s">
        <v>279</v>
      </c>
      <c r="T109" s="138" t="s">
        <v>83</v>
      </c>
      <c r="W109" s="69" t="s">
        <v>67</v>
      </c>
      <c r="X109" s="69" t="s">
        <v>278</v>
      </c>
      <c r="Y109" s="69" t="s">
        <v>279</v>
      </c>
      <c r="Z109" s="138" t="s">
        <v>83</v>
      </c>
      <c r="AC109" s="69" t="s">
        <v>67</v>
      </c>
      <c r="AD109" s="69" t="s">
        <v>278</v>
      </c>
      <c r="AE109" s="69" t="s">
        <v>279</v>
      </c>
      <c r="AF109" s="138" t="s">
        <v>83</v>
      </c>
      <c r="AI109" s="69" t="s">
        <v>67</v>
      </c>
      <c r="AJ109" s="69" t="s">
        <v>278</v>
      </c>
      <c r="AK109" s="69" t="s">
        <v>279</v>
      </c>
      <c r="AL109" s="138" t="s">
        <v>83</v>
      </c>
      <c r="AO109" s="69" t="s">
        <v>67</v>
      </c>
      <c r="AP109" s="69" t="s">
        <v>278</v>
      </c>
      <c r="AQ109" s="69" t="s">
        <v>279</v>
      </c>
      <c r="AR109" s="138" t="s">
        <v>83</v>
      </c>
    </row>
    <row r="110" spans="1:44" ht="15.75" hidden="1">
      <c r="B110" s="22"/>
      <c r="C110" s="30" t="s">
        <v>48</v>
      </c>
      <c r="D110" s="30"/>
      <c r="E110" s="103"/>
      <c r="F110" s="81"/>
      <c r="G110" s="72">
        <v>12314.756313188494</v>
      </c>
      <c r="H110" s="82"/>
      <c r="J110" s="186">
        <f t="shared" ref="J110:J112" si="130">IF($D$2=$L$2,L110,IF($D$2=$M$2,M110,IF($D$2=$N$2,N110,IF($D$2=$R$2,R110,IF($D$2=$S$2,S110,IF($D$2=$T$2,T110,IF($D$2=$X$2,X110,IF($D$2=$Y$2,Y110,IF($D$2=$Z$2,Z110,IF($D$2=$AD$2,AD110,IF($D$2=$AE$2,AE110,IF($D$2=$AF$2,AF110,IF($D$2=$AJ$2,AJ110,IF($D$2=$AK$2,AK110,IF($D$2=$AL$2,AL110,IF($D$2=$AP$2,AP110,IF($D$2=$AQ$2,AQ110,IF($D$2=$AR$2,AR110))))))))))))))))))</f>
        <v>15.818904445248126</v>
      </c>
      <c r="L110" s="74">
        <v>15.267575335896318</v>
      </c>
      <c r="M110" s="74">
        <v>4.0959774005931866</v>
      </c>
      <c r="N110" s="140"/>
      <c r="P110" s="153">
        <f>147.1/144</f>
        <v>1.0215277777777778</v>
      </c>
      <c r="Q110" s="137">
        <f>G110*P110</f>
        <v>12579.865650486303</v>
      </c>
      <c r="R110" s="544">
        <f>Q110/$E$6</f>
        <v>15.596252304932975</v>
      </c>
      <c r="S110" s="544">
        <f>Q110/($E$7/100)</f>
        <v>4.1841546918559569</v>
      </c>
      <c r="V110" s="153">
        <f>149.2/144</f>
        <v>1.036111111111111</v>
      </c>
      <c r="W110" s="137">
        <f>G110*V110</f>
        <v>12759.455846720299</v>
      </c>
      <c r="X110" s="544">
        <f>W110/$E$6</f>
        <v>15.818904445248126</v>
      </c>
      <c r="Y110" s="544">
        <f>W110/($E$7/100)</f>
        <v>4.2438876956146068</v>
      </c>
      <c r="AB110" s="153">
        <f>151.6/149.2</f>
        <v>1.0160857908847185</v>
      </c>
      <c r="AC110" s="137">
        <f>W110*AB110</f>
        <v>12964.701785273441</v>
      </c>
      <c r="AD110" s="544">
        <f>AC110/$E$6</f>
        <v>16.073364034179733</v>
      </c>
      <c r="AE110" s="544">
        <f>AC110/($E$7/100)</f>
        <v>4.3121539856244935</v>
      </c>
      <c r="AH110" s="153"/>
      <c r="AI110" s="137">
        <f>AC110*AH110</f>
        <v>0</v>
      </c>
      <c r="AJ110" s="544">
        <f>AI110/$E$6</f>
        <v>0</v>
      </c>
      <c r="AK110" s="544">
        <f>AI110/($E$7/100)</f>
        <v>0</v>
      </c>
      <c r="AN110" s="153"/>
      <c r="AO110" s="137">
        <f>AI110*AN110</f>
        <v>0</v>
      </c>
      <c r="AP110" s="544">
        <f>AO110/$E$6</f>
        <v>0</v>
      </c>
      <c r="AQ110" s="544">
        <f>AO110/($E$7/100)</f>
        <v>0</v>
      </c>
    </row>
    <row r="111" spans="1:44" ht="15.75" hidden="1">
      <c r="B111" s="24"/>
      <c r="C111" s="25" t="s">
        <v>107</v>
      </c>
      <c r="D111" s="25"/>
      <c r="E111" s="82"/>
      <c r="F111" s="20"/>
      <c r="G111" s="73">
        <v>1487.5789869047619</v>
      </c>
      <c r="H111" s="82"/>
      <c r="I111" s="57"/>
      <c r="J111" s="186">
        <f t="shared" si="130"/>
        <v>1.9354102806589406</v>
      </c>
      <c r="K111" s="57"/>
      <c r="L111" s="74">
        <v>1.8442690763065803</v>
      </c>
      <c r="M111" s="74">
        <v>0.4947795763878669</v>
      </c>
      <c r="N111" s="140"/>
      <c r="P111" s="153">
        <f>141.6/137.6</f>
        <v>1.0290697674418605</v>
      </c>
      <c r="Q111" s="137">
        <f>G111*P111</f>
        <v>1530.8225621054819</v>
      </c>
      <c r="R111" s="544">
        <f>Q111/$E$6</f>
        <v>1.8978815494550276</v>
      </c>
      <c r="S111" s="544">
        <f>Q111/($E$7/100)</f>
        <v>0.50916270360844451</v>
      </c>
      <c r="V111" s="153">
        <f>144.4/137.6</f>
        <v>1.0494186046511629</v>
      </c>
      <c r="W111" s="137">
        <f>G111*V111</f>
        <v>1561.0930647459857</v>
      </c>
      <c r="X111" s="544">
        <f>W111/$E$6</f>
        <v>1.9354102806589406</v>
      </c>
      <c r="Y111" s="544">
        <f>W111/($E$7/100)</f>
        <v>0.51923089266284872</v>
      </c>
      <c r="AB111" s="153">
        <f>148.9/144.4</f>
        <v>1.0311634349030472</v>
      </c>
      <c r="AC111" s="137">
        <f>W111*AB111</f>
        <v>1609.7420868467957</v>
      </c>
      <c r="AD111" s="544">
        <f>AC111/$E$6</f>
        <v>1.9957243129509439</v>
      </c>
      <c r="AE111" s="544">
        <f>AC111/($E$7/100)</f>
        <v>0.53541191078599859</v>
      </c>
      <c r="AH111" s="153"/>
      <c r="AI111" s="137">
        <f>AC111*AH111</f>
        <v>0</v>
      </c>
      <c r="AJ111" s="544">
        <f>AI111/$E$6</f>
        <v>0</v>
      </c>
      <c r="AK111" s="544">
        <f>AI111/($E$7/100)</f>
        <v>0</v>
      </c>
      <c r="AN111" s="153"/>
      <c r="AO111" s="137">
        <f>AI111*AN111</f>
        <v>0</v>
      </c>
      <c r="AP111" s="544">
        <f>AO111/$E$6</f>
        <v>0</v>
      </c>
      <c r="AQ111" s="544">
        <f>AO111/($E$7/100)</f>
        <v>0</v>
      </c>
    </row>
    <row r="112" spans="1:44" ht="15.75" hidden="1">
      <c r="A112" s="21"/>
      <c r="B112" s="26"/>
      <c r="C112" s="27" t="s">
        <v>6</v>
      </c>
      <c r="D112" s="27"/>
      <c r="E112" s="101"/>
      <c r="F112" s="101"/>
      <c r="G112" s="77">
        <v>13802.335300093257</v>
      </c>
      <c r="H112" s="102"/>
      <c r="J112" s="187">
        <f t="shared" si="130"/>
        <v>17.754314725907069</v>
      </c>
      <c r="L112" s="79">
        <v>17.111844412202899</v>
      </c>
      <c r="M112" s="79">
        <v>4.5907569769810532</v>
      </c>
      <c r="N112" s="203">
        <f>G112/$N$9</f>
        <v>1.91816975472161E-2</v>
      </c>
      <c r="P112" s="156"/>
      <c r="Q112" s="157">
        <f>SUM(Q110:Q111)</f>
        <v>14110.688212591785</v>
      </c>
      <c r="R112" s="559">
        <f>Q112/$E$6</f>
        <v>17.494133854388004</v>
      </c>
      <c r="S112" s="559">
        <f>Q112/($E$7/100)</f>
        <v>4.6933173954644021</v>
      </c>
      <c r="T112" s="411">
        <f>Q112/T$9</f>
        <v>1.8878442881713031E-2</v>
      </c>
      <c r="V112" s="156"/>
      <c r="W112" s="157">
        <f>SUM(W110:W111)</f>
        <v>14320.548911466285</v>
      </c>
      <c r="X112" s="559">
        <f>W112/$E$6</f>
        <v>17.754314725907069</v>
      </c>
      <c r="Y112" s="559">
        <f>W112/($E$7/100)</f>
        <v>4.7631185882774556</v>
      </c>
      <c r="Z112" s="411">
        <f>W112/Z$9</f>
        <v>1.8757493187045362E-2</v>
      </c>
      <c r="AB112" s="156"/>
      <c r="AC112" s="157">
        <f>SUM(AC110:AC111)</f>
        <v>14574.443872120237</v>
      </c>
      <c r="AD112" s="559">
        <f>AC112/$E$6</f>
        <v>18.069088347130677</v>
      </c>
      <c r="AE112" s="559">
        <f>AC112/($E$7/100)</f>
        <v>4.847565896410492</v>
      </c>
      <c r="AF112" s="411">
        <f>AC112/AF$9</f>
        <v>1.707973806368689E-2</v>
      </c>
      <c r="AH112" s="156"/>
      <c r="AI112" s="157">
        <f>SUM(AI110:AI111)</f>
        <v>0</v>
      </c>
      <c r="AJ112" s="559">
        <f>AI112/$E$6</f>
        <v>0</v>
      </c>
      <c r="AK112" s="559">
        <f>AI112/($E$7/100)</f>
        <v>0</v>
      </c>
      <c r="AL112" s="411">
        <f>AI112/AL$9</f>
        <v>0</v>
      </c>
      <c r="AN112" s="156"/>
      <c r="AO112" s="157">
        <f>SUM(AO110:AO111)</f>
        <v>0</v>
      </c>
      <c r="AP112" s="559">
        <f>AO112/$E$6</f>
        <v>0</v>
      </c>
      <c r="AQ112" s="559">
        <f>AO112/($E$7/100)</f>
        <v>0</v>
      </c>
      <c r="AR112" s="411">
        <f>AO112/AR$9</f>
        <v>0</v>
      </c>
    </row>
    <row r="113" spans="1:44" ht="15.75" hidden="1">
      <c r="B113" s="28"/>
      <c r="C113" s="42"/>
      <c r="D113" s="42"/>
      <c r="E113" s="95"/>
      <c r="F113" s="96"/>
      <c r="G113" s="95"/>
      <c r="H113" s="95"/>
      <c r="J113" s="193"/>
      <c r="L113" s="95"/>
      <c r="M113" s="95"/>
      <c r="N113" s="145"/>
    </row>
    <row r="114" spans="1:44" ht="15" hidden="1">
      <c r="B114" s="17">
        <v>16</v>
      </c>
      <c r="C114" s="18" t="s">
        <v>49</v>
      </c>
      <c r="D114" s="18"/>
      <c r="E114" s="18"/>
      <c r="F114" s="18"/>
      <c r="G114" s="68" t="s">
        <v>67</v>
      </c>
      <c r="H114" s="91"/>
      <c r="J114" s="184" t="s">
        <v>86</v>
      </c>
      <c r="L114" s="69" t="s">
        <v>278</v>
      </c>
      <c r="M114" s="69" t="s">
        <v>279</v>
      </c>
      <c r="N114" s="138" t="s">
        <v>83</v>
      </c>
      <c r="Q114" s="69" t="s">
        <v>67</v>
      </c>
      <c r="R114" s="69" t="s">
        <v>278</v>
      </c>
      <c r="S114" s="69" t="s">
        <v>279</v>
      </c>
      <c r="T114" s="138" t="s">
        <v>83</v>
      </c>
      <c r="W114" s="69" t="s">
        <v>67</v>
      </c>
      <c r="X114" s="69" t="s">
        <v>278</v>
      </c>
      <c r="Y114" s="69" t="s">
        <v>279</v>
      </c>
      <c r="Z114" s="138" t="s">
        <v>83</v>
      </c>
      <c r="AC114" s="69" t="s">
        <v>67</v>
      </c>
      <c r="AD114" s="69" t="s">
        <v>278</v>
      </c>
      <c r="AE114" s="69" t="s">
        <v>279</v>
      </c>
      <c r="AF114" s="138" t="s">
        <v>83</v>
      </c>
      <c r="AI114" s="69" t="s">
        <v>67</v>
      </c>
      <c r="AJ114" s="69" t="s">
        <v>278</v>
      </c>
      <c r="AK114" s="69" t="s">
        <v>279</v>
      </c>
      <c r="AL114" s="138" t="s">
        <v>83</v>
      </c>
      <c r="AO114" s="69" t="s">
        <v>67</v>
      </c>
      <c r="AP114" s="69" t="s">
        <v>278</v>
      </c>
      <c r="AQ114" s="69" t="s">
        <v>279</v>
      </c>
      <c r="AR114" s="138" t="s">
        <v>83</v>
      </c>
    </row>
    <row r="115" spans="1:44" ht="15.75" hidden="1">
      <c r="B115" s="22"/>
      <c r="C115" s="30" t="s">
        <v>50</v>
      </c>
      <c r="D115" s="30"/>
      <c r="E115" s="103"/>
      <c r="F115" s="81"/>
      <c r="G115" s="72">
        <v>8425.1347544385826</v>
      </c>
      <c r="H115" s="82"/>
      <c r="J115" s="186">
        <f t="shared" ref="J115:J118" si="131">IF($D$2=$L$2,L115,IF($D$2=$M$2,M115,IF($D$2=$N$2,N115,IF($D$2=$R$2,R115,IF($D$2=$S$2,S115,IF($D$2=$T$2,T115,IF($D$2=$X$2,X115,IF($D$2=$Y$2,Y115,IF($D$2=$Z$2,Z115,IF($D$2=$AD$2,AD115,IF($D$2=$AE$2,AE115,IF($D$2=$AF$2,AF115,IF($D$2=$AJ$2,AJ115,IF($D$2=$AK$2,AK115,IF($D$2=$AL$2,AL115,IF($D$2=$AP$2,AP115,IF($D$2=$AQ$2,AQ115,IF($D$2=$AR$2,AR115))))))))))))))))))</f>
        <v>11.08351200380295</v>
      </c>
      <c r="L115" s="74">
        <v>10.445304503566305</v>
      </c>
      <c r="M115" s="74">
        <v>2.8022610170673912</v>
      </c>
      <c r="N115" s="140"/>
      <c r="P115" s="153">
        <f>10840/(4065.21+3392.93)</f>
        <v>1.4534454971346744</v>
      </c>
      <c r="Q115" s="137">
        <f>G115*P115</f>
        <v>12245.474171591608</v>
      </c>
      <c r="R115" s="544">
        <f>Q115/$E$6</f>
        <v>15.181680796908982</v>
      </c>
      <c r="S115" s="544">
        <f>Q115/($E$7/100)</f>
        <v>4.0729336570526318</v>
      </c>
      <c r="W115" s="597">
        <v>8939.91</v>
      </c>
      <c r="X115" s="544">
        <f>W115/$E$6</f>
        <v>11.08351200380295</v>
      </c>
      <c r="Y115" s="544">
        <f>W115/($E$7/100)</f>
        <v>2.9734790029195564</v>
      </c>
      <c r="AB115" s="153">
        <v>1.1101000000000001</v>
      </c>
      <c r="AC115" s="137">
        <f>W115*AB115</f>
        <v>9924.1940910000012</v>
      </c>
      <c r="AD115" s="544">
        <f>AC115/$E$6</f>
        <v>12.303806675421656</v>
      </c>
      <c r="AE115" s="544">
        <f>AC115/($E$7/100)</f>
        <v>3.3008590411409999</v>
      </c>
      <c r="AH115" s="153"/>
      <c r="AI115" s="137">
        <f>AC115*AH115</f>
        <v>0</v>
      </c>
      <c r="AJ115" s="544">
        <f>AI115/$E$6</f>
        <v>0</v>
      </c>
      <c r="AK115" s="544">
        <f>AI115/($E$7/100)</f>
        <v>0</v>
      </c>
      <c r="AN115" s="153"/>
      <c r="AO115" s="137">
        <f>AI115*AN115</f>
        <v>0</v>
      </c>
      <c r="AP115" s="544">
        <f>AO115/$E$6</f>
        <v>0</v>
      </c>
      <c r="AQ115" s="544">
        <f>AO115/($E$7/100)</f>
        <v>0</v>
      </c>
    </row>
    <row r="116" spans="1:44" ht="15.75" hidden="1">
      <c r="B116" s="24"/>
      <c r="C116" s="25" t="s">
        <v>51</v>
      </c>
      <c r="D116" s="25"/>
      <c r="E116" s="82"/>
      <c r="F116" s="20"/>
      <c r="G116" s="73">
        <v>783.96313536322498</v>
      </c>
      <c r="H116" s="82"/>
      <c r="I116" s="57"/>
      <c r="J116" s="186">
        <f t="shared" si="131"/>
        <v>1.031322496029996</v>
      </c>
      <c r="K116" s="57"/>
      <c r="L116" s="74">
        <v>0.97194097270971425</v>
      </c>
      <c r="M116" s="74">
        <v>0.26075183330319113</v>
      </c>
      <c r="N116" s="140"/>
      <c r="P116" s="153">
        <f>1115/3609.52</f>
        <v>0.30890533921407831</v>
      </c>
      <c r="Q116" s="137">
        <f>G116*P116</f>
        <v>242.17039826070939</v>
      </c>
      <c r="R116" s="544">
        <f>Q116/$E$6</f>
        <v>0.30023775587095547</v>
      </c>
      <c r="S116" s="544">
        <f>Q116/($E$7/100)</f>
        <v>8.0547633517215056E-2</v>
      </c>
      <c r="W116" s="597">
        <v>831.86</v>
      </c>
      <c r="X116" s="544">
        <f>W116/$E$6</f>
        <v>1.031322496029996</v>
      </c>
      <c r="Y116" s="544">
        <f>W116/($E$7/100)</f>
        <v>0.27668267839034871</v>
      </c>
      <c r="AB116" s="153">
        <v>1.0757000000000001</v>
      </c>
      <c r="AC116" s="137">
        <f>W116*AB116</f>
        <v>894.83180200000015</v>
      </c>
      <c r="AD116" s="544">
        <f>AC116/$E$6</f>
        <v>1.1093936089794669</v>
      </c>
      <c r="AE116" s="544">
        <f>AC116/($E$7/100)</f>
        <v>0.29762755714449812</v>
      </c>
      <c r="AH116" s="153"/>
      <c r="AI116" s="137">
        <f>AC116*AH116</f>
        <v>0</v>
      </c>
      <c r="AJ116" s="544">
        <f>AI116/$E$6</f>
        <v>0</v>
      </c>
      <c r="AK116" s="544">
        <f>AI116/($E$7/100)</f>
        <v>0</v>
      </c>
      <c r="AN116" s="153"/>
      <c r="AO116" s="137">
        <f>AI116*AN116</f>
        <v>0</v>
      </c>
      <c r="AP116" s="544">
        <f>AO116/$E$6</f>
        <v>0</v>
      </c>
      <c r="AQ116" s="544">
        <f>AO116/($E$7/100)</f>
        <v>0</v>
      </c>
    </row>
    <row r="117" spans="1:44" ht="15.75" hidden="1">
      <c r="B117" s="24"/>
      <c r="C117" s="25" t="s">
        <v>261</v>
      </c>
      <c r="D117" s="25"/>
      <c r="E117" s="82"/>
      <c r="F117" s="20"/>
      <c r="G117" s="73"/>
      <c r="H117" s="82"/>
      <c r="I117" s="57"/>
      <c r="J117" s="186">
        <f t="shared" si="131"/>
        <v>0</v>
      </c>
      <c r="K117" s="57"/>
      <c r="L117" s="74">
        <v>0</v>
      </c>
      <c r="M117" s="74">
        <v>0</v>
      </c>
      <c r="N117" s="140"/>
      <c r="P117" s="153"/>
      <c r="Q117" s="137"/>
      <c r="R117" s="544"/>
      <c r="S117" s="544"/>
      <c r="W117" s="597">
        <v>0</v>
      </c>
      <c r="X117" s="544">
        <f>W117/$E$6</f>
        <v>0</v>
      </c>
      <c r="Y117" s="544">
        <f>W117/($E$7/100)</f>
        <v>0</v>
      </c>
      <c r="AB117" s="153"/>
      <c r="AC117" s="137"/>
      <c r="AD117" s="544"/>
      <c r="AE117" s="544"/>
      <c r="AH117" s="153"/>
      <c r="AI117" s="137"/>
      <c r="AJ117" s="544"/>
      <c r="AK117" s="544"/>
      <c r="AN117" s="153"/>
      <c r="AO117" s="137"/>
      <c r="AP117" s="544"/>
      <c r="AQ117" s="544"/>
    </row>
    <row r="118" spans="1:44" ht="15.75" hidden="1">
      <c r="A118" s="21"/>
      <c r="B118" s="26"/>
      <c r="C118" s="27" t="s">
        <v>6</v>
      </c>
      <c r="D118" s="27"/>
      <c r="E118" s="101"/>
      <c r="F118" s="101"/>
      <c r="G118" s="77">
        <v>9209.0978898018075</v>
      </c>
      <c r="H118" s="102"/>
      <c r="I118" s="57"/>
      <c r="J118" s="187">
        <f t="shared" si="131"/>
        <v>12.114834499832947</v>
      </c>
      <c r="K118" s="57"/>
      <c r="L118" s="79">
        <v>11.417245476276019</v>
      </c>
      <c r="M118" s="79">
        <v>3.0630128503705825</v>
      </c>
      <c r="N118" s="203">
        <f>G118/$N$9</f>
        <v>1.2798278448118179E-2</v>
      </c>
      <c r="P118" s="156"/>
      <c r="Q118" s="157">
        <f>SUM(Q115:Q116)</f>
        <v>12487.644569852317</v>
      </c>
      <c r="R118" s="559">
        <f>Q118/$E$6</f>
        <v>15.481918552779938</v>
      </c>
      <c r="S118" s="559">
        <f>Q118/($E$7/100)</f>
        <v>4.1534812905698466</v>
      </c>
      <c r="T118" s="411">
        <f>Q118/T$9</f>
        <v>1.6707001188554352E-2</v>
      </c>
      <c r="V118" s="156"/>
      <c r="W118" s="157">
        <f>SUM(W115:W117)</f>
        <v>9771.77</v>
      </c>
      <c r="X118" s="559">
        <f>W118/$E$6</f>
        <v>12.114834499832947</v>
      </c>
      <c r="Y118" s="559">
        <f>W118/($E$7/100)</f>
        <v>3.2501616813099052</v>
      </c>
      <c r="Z118" s="411">
        <f>W118/Z$9</f>
        <v>1.2799363371721953E-2</v>
      </c>
      <c r="AB118" s="156"/>
      <c r="AC118" s="157">
        <f>SUM(AC115:AC116)</f>
        <v>10819.025893000002</v>
      </c>
      <c r="AD118" s="559">
        <f>AC118/$E$6</f>
        <v>13.413200284401125</v>
      </c>
      <c r="AE118" s="559">
        <f>AC118/($E$7/100)</f>
        <v>3.5984865982854983</v>
      </c>
      <c r="AF118" s="411">
        <f>AC118/AF$9</f>
        <v>1.2678777315830725E-2</v>
      </c>
      <c r="AH118" s="156"/>
      <c r="AI118" s="157">
        <f>SUM(AI115:AI116)</f>
        <v>0</v>
      </c>
      <c r="AJ118" s="559">
        <f>AI118/$E$6</f>
        <v>0</v>
      </c>
      <c r="AK118" s="559">
        <f>AI118/($E$7/100)</f>
        <v>0</v>
      </c>
      <c r="AL118" s="411">
        <f>AI118/AL$9</f>
        <v>0</v>
      </c>
      <c r="AN118" s="156"/>
      <c r="AO118" s="157">
        <f>SUM(AO115:AO116)</f>
        <v>0</v>
      </c>
      <c r="AP118" s="559">
        <f>AO118/$E$6</f>
        <v>0</v>
      </c>
      <c r="AQ118" s="559">
        <f>AO118/($E$7/100)</f>
        <v>0</v>
      </c>
      <c r="AR118" s="411">
        <f>AO118/AR$9</f>
        <v>0</v>
      </c>
    </row>
    <row r="119" spans="1:44" ht="15.75" hidden="1">
      <c r="B119" s="28"/>
      <c r="C119" s="42"/>
      <c r="D119" s="42"/>
      <c r="E119" s="95"/>
      <c r="F119" s="96"/>
      <c r="G119" s="95"/>
      <c r="H119" s="95"/>
      <c r="J119" s="193"/>
      <c r="L119" s="95"/>
      <c r="M119" s="95"/>
      <c r="N119" s="145"/>
    </row>
    <row r="120" spans="1:44" ht="15" hidden="1">
      <c r="B120" s="17">
        <v>17</v>
      </c>
      <c r="C120" s="18" t="s">
        <v>52</v>
      </c>
      <c r="D120" s="18"/>
      <c r="E120" s="18"/>
      <c r="F120" s="18"/>
      <c r="G120" s="68" t="s">
        <v>67</v>
      </c>
      <c r="H120" s="91"/>
      <c r="J120" s="184" t="s">
        <v>86</v>
      </c>
      <c r="L120" s="69" t="s">
        <v>278</v>
      </c>
      <c r="M120" s="69" t="s">
        <v>279</v>
      </c>
      <c r="N120" s="138" t="s">
        <v>83</v>
      </c>
      <c r="Q120" s="69" t="s">
        <v>67</v>
      </c>
      <c r="R120" s="69" t="s">
        <v>278</v>
      </c>
      <c r="S120" s="69" t="s">
        <v>279</v>
      </c>
      <c r="T120" s="138" t="s">
        <v>83</v>
      </c>
      <c r="W120" s="69" t="s">
        <v>67</v>
      </c>
      <c r="X120" s="69" t="s">
        <v>278</v>
      </c>
      <c r="Y120" s="69" t="s">
        <v>279</v>
      </c>
      <c r="Z120" s="138" t="s">
        <v>83</v>
      </c>
      <c r="AC120" s="69" t="s">
        <v>67</v>
      </c>
      <c r="AD120" s="69" t="s">
        <v>278</v>
      </c>
      <c r="AE120" s="69" t="s">
        <v>279</v>
      </c>
      <c r="AF120" s="138" t="s">
        <v>83</v>
      </c>
      <c r="AI120" s="69" t="s">
        <v>67</v>
      </c>
      <c r="AJ120" s="69" t="s">
        <v>278</v>
      </c>
      <c r="AK120" s="69" t="s">
        <v>279</v>
      </c>
      <c r="AL120" s="138" t="s">
        <v>83</v>
      </c>
      <c r="AO120" s="69" t="s">
        <v>67</v>
      </c>
      <c r="AP120" s="69" t="s">
        <v>278</v>
      </c>
      <c r="AQ120" s="69" t="s">
        <v>279</v>
      </c>
      <c r="AR120" s="138" t="s">
        <v>83</v>
      </c>
    </row>
    <row r="121" spans="1:44" ht="15.75" hidden="1">
      <c r="B121" s="22"/>
      <c r="C121" s="23" t="s">
        <v>53</v>
      </c>
      <c r="D121" s="23"/>
      <c r="E121" s="103"/>
      <c r="F121" s="81"/>
      <c r="G121" s="72">
        <v>8497.3118548270395</v>
      </c>
      <c r="H121" s="82"/>
      <c r="J121" s="186">
        <f t="shared" ref="J121:J123" si="132">IF($D$2=$L$2,L121,IF($D$2=$M$2,M121,IF($D$2=$N$2,N121,IF($D$2=$R$2,R121,IF($D$2=$S$2,S121,IF($D$2=$T$2,T121,IF($D$2=$X$2,X121,IF($D$2=$Y$2,Y121,IF($D$2=$Z$2,Z121,IF($D$2=$AD$2,AD121,IF($D$2=$AE$2,AE121,IF($D$2=$AF$2,AF121,IF($D$2=$AJ$2,AJ121,IF($D$2=$AK$2,AK121,IF($D$2=$AL$2,AL121,IF($D$2=$AP$2,AP121,IF($D$2=$AQ$2,AQ121,IF($D$2=$AR$2,AR121))))))))))))))))))</f>
        <v>13.429747935468921</v>
      </c>
      <c r="L121" s="74">
        <v>10.534788151450362</v>
      </c>
      <c r="M121" s="74">
        <v>2.8262676449301654</v>
      </c>
      <c r="N121" s="140"/>
      <c r="P121" s="153">
        <v>1.1115999999999999</v>
      </c>
      <c r="Q121" s="137">
        <f>G121*P121</f>
        <v>9445.6118578257356</v>
      </c>
      <c r="R121" s="544">
        <f>Q121/$E$6</f>
        <v>11.71047050915222</v>
      </c>
      <c r="S121" s="544">
        <f>Q121/($E$7/100)</f>
        <v>3.1416791141043712</v>
      </c>
      <c r="V121" s="153">
        <v>1.2747999999999999</v>
      </c>
      <c r="W121" s="137">
        <f>G121*V121</f>
        <v>10832.37315253351</v>
      </c>
      <c r="X121" s="544">
        <f>W121/$E$6</f>
        <v>13.429747935468921</v>
      </c>
      <c r="Y121" s="544">
        <f>W121/($E$7/100)</f>
        <v>3.6029259937569744</v>
      </c>
      <c r="AB121" s="153">
        <v>1.0107999999999999</v>
      </c>
      <c r="AC121" s="137">
        <f>W121*AB121</f>
        <v>10949.362782580871</v>
      </c>
      <c r="AD121" s="544">
        <f>AC121/$E$6</f>
        <v>13.574789213171984</v>
      </c>
      <c r="AE121" s="544">
        <f>AC121/($E$7/100)</f>
        <v>3.6418375944895494</v>
      </c>
      <c r="AH121" s="153"/>
      <c r="AI121" s="137">
        <f>AC121*AH121</f>
        <v>0</v>
      </c>
      <c r="AJ121" s="544">
        <f>AI121/$E$6</f>
        <v>0</v>
      </c>
      <c r="AK121" s="544">
        <f>AI121/($E$7/100)</f>
        <v>0</v>
      </c>
      <c r="AN121" s="153"/>
      <c r="AO121" s="137">
        <f>AI121*AN121</f>
        <v>0</v>
      </c>
      <c r="AP121" s="544">
        <f>AO121/$E$6</f>
        <v>0</v>
      </c>
      <c r="AQ121" s="544">
        <f>AO121/($E$7/100)</f>
        <v>0</v>
      </c>
    </row>
    <row r="122" spans="1:44" ht="15.75" hidden="1">
      <c r="B122" s="24"/>
      <c r="C122" s="25" t="s">
        <v>54</v>
      </c>
      <c r="D122" s="25"/>
      <c r="E122" s="82"/>
      <c r="F122" s="20"/>
      <c r="G122" s="73">
        <v>-6556.7564844853905</v>
      </c>
      <c r="H122" s="82"/>
      <c r="I122" s="57"/>
      <c r="J122" s="186">
        <f t="shared" si="132"/>
        <v>-10.441608660458625</v>
      </c>
      <c r="K122" s="57"/>
      <c r="L122" s="74">
        <v>-8.128928501719443</v>
      </c>
      <c r="M122" s="74">
        <v>-2.1808248331218048</v>
      </c>
      <c r="N122" s="140"/>
      <c r="P122" s="153">
        <v>1.1180000000000001</v>
      </c>
      <c r="Q122" s="137">
        <f>G122*P122</f>
        <v>-7330.4537496546673</v>
      </c>
      <c r="R122" s="544">
        <f>Q122/$E$6</f>
        <v>-9.0881420649223372</v>
      </c>
      <c r="S122" s="544">
        <f>Q122/($E$7/100)</f>
        <v>-2.438162163430178</v>
      </c>
      <c r="V122" s="153">
        <v>1.2845</v>
      </c>
      <c r="W122" s="137">
        <f>G122*V122</f>
        <v>-8422.1537043214848</v>
      </c>
      <c r="X122" s="544">
        <f>W122/$E$6</f>
        <v>-10.441608660458625</v>
      </c>
      <c r="Y122" s="544">
        <f>W122/($E$7/100)</f>
        <v>-2.8012694981449586</v>
      </c>
      <c r="AB122" s="153">
        <v>1.0107999999999999</v>
      </c>
      <c r="AC122" s="137">
        <f>W122*AB122</f>
        <v>-8513.1129643281565</v>
      </c>
      <c r="AD122" s="544">
        <f>AC122/$E$6</f>
        <v>-10.554378033991577</v>
      </c>
      <c r="AE122" s="544">
        <f>AC122/($E$7/100)</f>
        <v>-2.8315232087249242</v>
      </c>
      <c r="AH122" s="153"/>
      <c r="AI122" s="137">
        <f>AC122*AH122</f>
        <v>0</v>
      </c>
      <c r="AJ122" s="544">
        <f>AI122/$E$6</f>
        <v>0</v>
      </c>
      <c r="AK122" s="544">
        <f>AI122/($E$7/100)</f>
        <v>0</v>
      </c>
      <c r="AN122" s="153"/>
      <c r="AO122" s="137">
        <f>AI122*AN122</f>
        <v>0</v>
      </c>
      <c r="AP122" s="544">
        <f>AO122/$E$6</f>
        <v>0</v>
      </c>
      <c r="AQ122" s="544">
        <f>AO122/($E$7/100)</f>
        <v>0</v>
      </c>
    </row>
    <row r="123" spans="1:44" ht="15.75" hidden="1">
      <c r="A123" s="21"/>
      <c r="B123" s="26"/>
      <c r="C123" s="27" t="s">
        <v>6</v>
      </c>
      <c r="D123" s="27"/>
      <c r="E123" s="101"/>
      <c r="F123" s="101"/>
      <c r="G123" s="77">
        <v>1940.555370341649</v>
      </c>
      <c r="H123" s="102"/>
      <c r="J123" s="187">
        <f t="shared" si="132"/>
        <v>2.9881392750102966</v>
      </c>
      <c r="L123" s="79">
        <v>2.4058596497309193</v>
      </c>
      <c r="M123" s="79">
        <v>0.64544281180836061</v>
      </c>
      <c r="N123" s="203">
        <f>G123/$N$9</f>
        <v>2.6968730564941382E-3</v>
      </c>
      <c r="P123" s="156"/>
      <c r="Q123" s="157">
        <f>SUM(Q121:Q122)</f>
        <v>2115.1581081710683</v>
      </c>
      <c r="R123" s="559">
        <f>Q123/$E$6</f>
        <v>2.6223284442298831</v>
      </c>
      <c r="S123" s="559">
        <f>Q123/($E$7/100)</f>
        <v>0.70351695067419284</v>
      </c>
      <c r="T123" s="411">
        <f>Q123/T$9</f>
        <v>2.8298330265186539E-3</v>
      </c>
      <c r="V123" s="156"/>
      <c r="W123" s="157">
        <f>SUM(W121:W122)</f>
        <v>2410.2194482120249</v>
      </c>
      <c r="X123" s="559">
        <f>W123/$E$6</f>
        <v>2.9881392750102966</v>
      </c>
      <c r="Y123" s="559">
        <f>W123/($E$7/100)</f>
        <v>0.80165649561201568</v>
      </c>
      <c r="Z123" s="411">
        <f>W123/Z$9</f>
        <v>3.1569791883412001E-3</v>
      </c>
      <c r="AB123" s="156"/>
      <c r="AC123" s="157">
        <f>SUM(AC121:AC122)</f>
        <v>2436.2498182527142</v>
      </c>
      <c r="AD123" s="559">
        <f>AC123/$E$6</f>
        <v>3.0204111791804071</v>
      </c>
      <c r="AE123" s="559">
        <f>AC123/($E$7/100)</f>
        <v>0.81031438576462533</v>
      </c>
      <c r="AF123" s="411">
        <f>AC123/AF$9</f>
        <v>2.8550323510496876E-3</v>
      </c>
      <c r="AH123" s="156"/>
      <c r="AI123" s="157">
        <f>SUM(AI121:AI122)</f>
        <v>0</v>
      </c>
      <c r="AJ123" s="559">
        <f>AI123/$E$6</f>
        <v>0</v>
      </c>
      <c r="AK123" s="559">
        <f>AI123/($E$7/100)</f>
        <v>0</v>
      </c>
      <c r="AL123" s="411">
        <f>AI123/AL$9</f>
        <v>0</v>
      </c>
      <c r="AN123" s="156"/>
      <c r="AO123" s="157">
        <f>SUM(AO121:AO122)</f>
        <v>0</v>
      </c>
      <c r="AP123" s="559">
        <f>AO123/$E$6</f>
        <v>0</v>
      </c>
      <c r="AQ123" s="559">
        <f>AO123/($E$7/100)</f>
        <v>0</v>
      </c>
      <c r="AR123" s="411">
        <f>AO123/AR$9</f>
        <v>0</v>
      </c>
    </row>
    <row r="124" spans="1:44" ht="15.75" hidden="1">
      <c r="B124" s="28"/>
      <c r="C124" s="42"/>
      <c r="D124" s="42"/>
      <c r="E124" s="95"/>
      <c r="F124" s="96"/>
      <c r="G124" s="97"/>
      <c r="H124" s="95"/>
      <c r="J124" s="194"/>
      <c r="L124" s="114"/>
      <c r="M124" s="114"/>
      <c r="N124" s="97"/>
    </row>
    <row r="125" spans="1:44" ht="15" hidden="1">
      <c r="B125" s="17">
        <v>18</v>
      </c>
      <c r="C125" s="18" t="s">
        <v>29</v>
      </c>
      <c r="D125" s="18"/>
      <c r="E125" s="18"/>
      <c r="F125" s="18"/>
      <c r="G125" s="68" t="s">
        <v>67</v>
      </c>
      <c r="H125" s="91"/>
      <c r="J125" s="184" t="s">
        <v>86</v>
      </c>
      <c r="L125" s="69" t="s">
        <v>278</v>
      </c>
      <c r="M125" s="69" t="s">
        <v>279</v>
      </c>
      <c r="N125" s="138" t="s">
        <v>83</v>
      </c>
      <c r="Q125" s="69" t="s">
        <v>67</v>
      </c>
      <c r="R125" s="69" t="s">
        <v>278</v>
      </c>
      <c r="S125" s="69" t="s">
        <v>279</v>
      </c>
      <c r="T125" s="138" t="s">
        <v>83</v>
      </c>
      <c r="W125" s="69" t="s">
        <v>67</v>
      </c>
      <c r="X125" s="69" t="s">
        <v>278</v>
      </c>
      <c r="Y125" s="69" t="s">
        <v>279</v>
      </c>
      <c r="Z125" s="138" t="s">
        <v>83</v>
      </c>
      <c r="AC125" s="69" t="s">
        <v>67</v>
      </c>
      <c r="AD125" s="69" t="s">
        <v>278</v>
      </c>
      <c r="AE125" s="69" t="s">
        <v>279</v>
      </c>
      <c r="AF125" s="138" t="s">
        <v>83</v>
      </c>
      <c r="AI125" s="69" t="s">
        <v>67</v>
      </c>
      <c r="AJ125" s="69" t="s">
        <v>278</v>
      </c>
      <c r="AK125" s="69" t="s">
        <v>279</v>
      </c>
      <c r="AL125" s="138" t="s">
        <v>83</v>
      </c>
      <c r="AO125" s="69" t="s">
        <v>67</v>
      </c>
      <c r="AP125" s="69" t="s">
        <v>278</v>
      </c>
      <c r="AQ125" s="69" t="s">
        <v>279</v>
      </c>
      <c r="AR125" s="138" t="s">
        <v>83</v>
      </c>
    </row>
    <row r="126" spans="1:44" ht="15.75" hidden="1">
      <c r="B126" s="22"/>
      <c r="C126" s="30" t="s">
        <v>29</v>
      </c>
      <c r="D126" s="30"/>
      <c r="E126" s="103"/>
      <c r="F126" s="81"/>
      <c r="G126" s="72">
        <v>19248.890775579981</v>
      </c>
      <c r="H126" s="82"/>
      <c r="J126" s="186">
        <f t="shared" ref="J126:J128" si="133">IF($D$2=$L$2,L126,IF($D$2=$M$2,M126,IF($D$2=$N$2,N126,IF($D$2=$R$2,R126,IF($D$2=$S$2,S126,IF($D$2=$T$2,T126,IF($D$2=$X$2,X126,IF($D$2=$Y$2,Y126,IF($D$2=$Z$2,Z126,IF($D$2=$AD$2,AD126,IF($D$2=$AE$2,AE126,IF($D$2=$AF$2,AF126,IF($D$2=$AJ$2,AJ126,IF($D$2=$AK$2,AK126,IF($D$2=$AL$2,AL126,IF($D$2=$AP$2,AP126,IF($D$2=$AQ$2,AQ126,IF($D$2=$AR$2,AR126))))))))))))))))))</f>
        <v>23.42649076901559</v>
      </c>
      <c r="L126" s="74">
        <v>23.864369101146725</v>
      </c>
      <c r="M126" s="74">
        <v>6.4023208903309996</v>
      </c>
      <c r="N126" s="140"/>
      <c r="P126" s="153">
        <f>3.53/3.27</f>
        <v>1.0795107033639144</v>
      </c>
      <c r="Q126" s="137">
        <f>G126*P126</f>
        <v>20779.383620121509</v>
      </c>
      <c r="R126" s="544">
        <f>Q126/$E$6</f>
        <v>25.761841873714964</v>
      </c>
      <c r="S126" s="544">
        <f>Q126/($E$7/100)</f>
        <v>6.9113739274827006</v>
      </c>
      <c r="V126" s="153">
        <f>3.21/3.27</f>
        <v>0.98165137614678899</v>
      </c>
      <c r="W126" s="137">
        <f>G126*V126</f>
        <v>18895.700119147321</v>
      </c>
      <c r="X126" s="544">
        <f>W126/$E$6</f>
        <v>23.42649076901559</v>
      </c>
      <c r="Y126" s="544">
        <f>W126/($E$7/100)</f>
        <v>6.2848471125267613</v>
      </c>
      <c r="AB126" s="153">
        <f>2.84/3.21</f>
        <v>0.88473520249221183</v>
      </c>
      <c r="AC126" s="137">
        <f>W126*AB126</f>
        <v>16717.691071145917</v>
      </c>
      <c r="AD126" s="544">
        <f>AC126/$E$6</f>
        <v>20.726241054206941</v>
      </c>
      <c r="AE126" s="544">
        <f>AC126/($E$7/100)</f>
        <v>5.5604254827339572</v>
      </c>
      <c r="AH126" s="153"/>
      <c r="AI126" s="137">
        <f>AC126*AH126</f>
        <v>0</v>
      </c>
      <c r="AJ126" s="544">
        <f>AI126/$E$6</f>
        <v>0</v>
      </c>
      <c r="AK126" s="544">
        <f>AI126/($E$7/100)</f>
        <v>0</v>
      </c>
      <c r="AN126" s="153"/>
      <c r="AO126" s="137">
        <f>AI126*AN126</f>
        <v>0</v>
      </c>
      <c r="AP126" s="544">
        <f>AO126/$E$6</f>
        <v>0</v>
      </c>
      <c r="AQ126" s="544">
        <f>AO126/($E$7/100)</f>
        <v>0</v>
      </c>
    </row>
    <row r="127" spans="1:44" ht="15.75" hidden="1">
      <c r="B127" s="24"/>
      <c r="C127" s="25" t="s">
        <v>261</v>
      </c>
      <c r="D127" s="25"/>
      <c r="E127" s="104"/>
      <c r="F127" s="20"/>
      <c r="G127" s="73"/>
      <c r="H127" s="82"/>
      <c r="J127" s="186">
        <f t="shared" si="133"/>
        <v>0</v>
      </c>
      <c r="L127" s="74">
        <v>0</v>
      </c>
      <c r="M127" s="74">
        <v>0</v>
      </c>
      <c r="N127" s="140"/>
      <c r="P127" s="153"/>
      <c r="Q127" s="137"/>
      <c r="R127" s="544"/>
      <c r="S127" s="544"/>
      <c r="W127" s="598"/>
      <c r="X127" s="544">
        <f>W127/$E$6</f>
        <v>0</v>
      </c>
      <c r="Y127" s="544">
        <f>W127/($E$7/100)</f>
        <v>0</v>
      </c>
      <c r="AB127" s="153"/>
      <c r="AC127" s="137"/>
      <c r="AD127" s="544"/>
      <c r="AE127" s="544"/>
      <c r="AH127" s="153"/>
      <c r="AI127" s="137"/>
      <c r="AJ127" s="544"/>
      <c r="AK127" s="544"/>
      <c r="AN127" s="153"/>
      <c r="AO127" s="137"/>
      <c r="AP127" s="544"/>
      <c r="AQ127" s="544"/>
    </row>
    <row r="128" spans="1:44" ht="15.75" hidden="1">
      <c r="B128" s="26"/>
      <c r="C128" s="27" t="s">
        <v>6</v>
      </c>
      <c r="D128" s="27"/>
      <c r="E128" s="101"/>
      <c r="F128" s="101"/>
      <c r="G128" s="77">
        <v>19248.890775579981</v>
      </c>
      <c r="H128" s="102"/>
      <c r="J128" s="187">
        <f t="shared" si="133"/>
        <v>23.42649076901559</v>
      </c>
      <c r="L128" s="79">
        <v>23.864369101146725</v>
      </c>
      <c r="M128" s="79">
        <v>6.4023208903309996</v>
      </c>
      <c r="N128" s="203">
        <f>G128/$N$9</f>
        <v>2.6751009372600765E-2</v>
      </c>
      <c r="P128" s="156"/>
      <c r="Q128" s="157">
        <f>Q126</f>
        <v>20779.383620121509</v>
      </c>
      <c r="R128" s="559">
        <f>Q128/$E$6</f>
        <v>25.761841873714964</v>
      </c>
      <c r="S128" s="559">
        <f>Q128/($E$7/100)</f>
        <v>6.9113739274827006</v>
      </c>
      <c r="T128" s="411">
        <f>Q128/T$9</f>
        <v>2.7800373793222283E-2</v>
      </c>
      <c r="V128" s="156"/>
      <c r="W128" s="157">
        <f>SUM(W126:W127)</f>
        <v>18895.700119147321</v>
      </c>
      <c r="X128" s="559">
        <f>W128/$E$6</f>
        <v>23.42649076901559</v>
      </c>
      <c r="Y128" s="559">
        <f>W128/($E$7/100)</f>
        <v>6.2848471125267613</v>
      </c>
      <c r="Z128" s="411">
        <f>W128/Z$9</f>
        <v>2.4750166242968916E-2</v>
      </c>
      <c r="AB128" s="156"/>
      <c r="AC128" s="157">
        <f>AC126</f>
        <v>16717.691071145917</v>
      </c>
      <c r="AD128" s="559">
        <f>AC128/$E$6</f>
        <v>20.726241054206941</v>
      </c>
      <c r="AE128" s="559">
        <f>AC128/($E$7/100)</f>
        <v>5.5604254827339572</v>
      </c>
      <c r="AF128" s="411">
        <f>AC128/AF$9</f>
        <v>1.9591401704940045E-2</v>
      </c>
      <c r="AH128" s="156"/>
      <c r="AI128" s="157">
        <f>AI126</f>
        <v>0</v>
      </c>
      <c r="AJ128" s="559">
        <f>AI128/$E$6</f>
        <v>0</v>
      </c>
      <c r="AK128" s="559">
        <f>AI128/($E$7/100)</f>
        <v>0</v>
      </c>
      <c r="AL128" s="411">
        <f>AI128/AL$9</f>
        <v>0</v>
      </c>
      <c r="AN128" s="156"/>
      <c r="AO128" s="157">
        <f>AO126</f>
        <v>0</v>
      </c>
      <c r="AP128" s="559">
        <f>AO128/$E$6</f>
        <v>0</v>
      </c>
      <c r="AQ128" s="559">
        <f>AO128/($E$7/100)</f>
        <v>0</v>
      </c>
      <c r="AR128" s="411">
        <f>AO128/AR$9</f>
        <v>0</v>
      </c>
    </row>
    <row r="129" spans="1:44" ht="15.75" hidden="1">
      <c r="A129" s="21"/>
      <c r="B129" s="28"/>
      <c r="C129" s="42"/>
      <c r="D129" s="42"/>
      <c r="E129" s="95"/>
      <c r="F129" s="96"/>
      <c r="G129" s="97"/>
      <c r="H129" s="95"/>
      <c r="J129" s="194"/>
      <c r="L129" s="114"/>
      <c r="M129" s="114"/>
      <c r="N129" s="97"/>
    </row>
    <row r="130" spans="1:44" ht="15" hidden="1">
      <c r="B130" s="17">
        <v>19</v>
      </c>
      <c r="C130" s="18" t="s">
        <v>30</v>
      </c>
      <c r="D130" s="18"/>
      <c r="E130" s="18"/>
      <c r="F130" s="18"/>
      <c r="G130" s="68" t="s">
        <v>67</v>
      </c>
      <c r="H130" s="91"/>
      <c r="J130" s="184" t="s">
        <v>86</v>
      </c>
      <c r="L130" s="69" t="s">
        <v>278</v>
      </c>
      <c r="M130" s="69" t="s">
        <v>279</v>
      </c>
      <c r="N130" s="138" t="s">
        <v>83</v>
      </c>
      <c r="Q130" s="69" t="s">
        <v>67</v>
      </c>
      <c r="R130" s="69" t="s">
        <v>278</v>
      </c>
      <c r="S130" s="69" t="s">
        <v>279</v>
      </c>
      <c r="T130" s="138" t="s">
        <v>83</v>
      </c>
      <c r="W130" s="69" t="s">
        <v>67</v>
      </c>
      <c r="X130" s="69" t="s">
        <v>278</v>
      </c>
      <c r="Y130" s="69" t="s">
        <v>279</v>
      </c>
      <c r="Z130" s="138" t="s">
        <v>83</v>
      </c>
      <c r="AC130" s="69" t="s">
        <v>67</v>
      </c>
      <c r="AD130" s="69" t="s">
        <v>278</v>
      </c>
      <c r="AE130" s="69" t="s">
        <v>279</v>
      </c>
      <c r="AF130" s="138" t="s">
        <v>83</v>
      </c>
      <c r="AI130" s="69" t="s">
        <v>67</v>
      </c>
      <c r="AJ130" s="69" t="s">
        <v>278</v>
      </c>
      <c r="AK130" s="69" t="s">
        <v>279</v>
      </c>
      <c r="AL130" s="138" t="s">
        <v>83</v>
      </c>
      <c r="AO130" s="69" t="s">
        <v>67</v>
      </c>
      <c r="AP130" s="69" t="s">
        <v>278</v>
      </c>
      <c r="AQ130" s="69" t="s">
        <v>279</v>
      </c>
      <c r="AR130" s="138" t="s">
        <v>83</v>
      </c>
    </row>
    <row r="131" spans="1:44" ht="15.75" hidden="1">
      <c r="B131" s="22"/>
      <c r="C131" s="23" t="s">
        <v>57</v>
      </c>
      <c r="D131" s="23"/>
      <c r="E131" s="103"/>
      <c r="F131" s="81"/>
      <c r="G131" s="72">
        <v>833.2653544563675</v>
      </c>
      <c r="H131" s="82"/>
      <c r="J131" s="186">
        <f t="shared" ref="J131:J138" si="134">IF($D$2=$L$2,L131,IF($D$2=$M$2,M131,IF($D$2=$N$2,N131,IF($D$2=$R$2,R131,IF($D$2=$S$2,S131,IF($D$2=$T$2,T131,IF($D$2=$X$2,X131,IF($D$2=$Y$2,Y131,IF($D$2=$Z$2,Z131,IF($D$2=$AD$2,AD131,IF($D$2=$AE$2,AE131,IF($D$2=$AF$2,AF131,IF($D$2=$AJ$2,AJ131,IF($D$2=$AK$2,AK131,IF($D$2=$AL$2,AL131,IF($D$2=$AP$2,AP131,IF($D$2=$AQ$2,AQ131,IF($D$2=$AR$2,AR131))))))))))))))))))</f>
        <v>0.97764094244161204</v>
      </c>
      <c r="L131" s="74">
        <v>1.0330648248662759</v>
      </c>
      <c r="M131" s="74">
        <v>0.27715010949062469</v>
      </c>
      <c r="N131" s="140"/>
      <c r="P131" s="153">
        <f>14.5/113.7</f>
        <v>0.12752858399296393</v>
      </c>
      <c r="Q131" s="137">
        <f t="shared" ref="Q131:Q137" si="135">G131*P131</f>
        <v>106.26515074421573</v>
      </c>
      <c r="R131" s="544">
        <f t="shared" ref="R131:R138" si="136">Q131/$E$6</f>
        <v>0.13174529428813547</v>
      </c>
      <c r="S131" s="544">
        <f t="shared" ref="S131:S138" si="137">Q131/($E$7/100)</f>
        <v>3.5344561016834281E-2</v>
      </c>
      <c r="V131" s="153">
        <f>107.6/113.7</f>
        <v>0.9463500439753737</v>
      </c>
      <c r="W131" s="137">
        <f t="shared" ref="W131:W137" si="138">G131*V131</f>
        <v>788.56070483293877</v>
      </c>
      <c r="X131" s="544">
        <f t="shared" ref="X131:X138" si="139">W131/$E$6</f>
        <v>0.97764094244161204</v>
      </c>
      <c r="Y131" s="544">
        <f t="shared" ref="Y131:Y138" si="140">W131/($E$7/100)</f>
        <v>0.26228101830423228</v>
      </c>
      <c r="AB131" s="153">
        <f>105.5/107.6</f>
        <v>0.98048327137546476</v>
      </c>
      <c r="AC131" s="595">
        <f>W131*AB131</f>
        <v>773.17057955274208</v>
      </c>
      <c r="AD131" s="544">
        <f t="shared" ref="AD131:AD138" si="141">AC131/$E$6</f>
        <v>0.9585605894757443</v>
      </c>
      <c r="AE131" s="544">
        <f t="shared" ref="AE131:AE138" si="142">AC131/($E$7/100)</f>
        <v>0.25716215084662186</v>
      </c>
      <c r="AH131" s="153"/>
      <c r="AI131" s="137">
        <f>AC131*AH131</f>
        <v>0</v>
      </c>
      <c r="AJ131" s="544">
        <f t="shared" ref="AJ131:AJ138" si="143">AI131/$E$6</f>
        <v>0</v>
      </c>
      <c r="AK131" s="544">
        <f t="shared" ref="AK131:AK138" si="144">AI131/($E$7/100)</f>
        <v>0</v>
      </c>
      <c r="AN131" s="153"/>
      <c r="AO131" s="137">
        <f>AI131*AN131</f>
        <v>0</v>
      </c>
      <c r="AP131" s="544">
        <f t="shared" ref="AP131:AP138" si="145">AO131/$E$6</f>
        <v>0</v>
      </c>
      <c r="AQ131" s="544">
        <f t="shared" ref="AQ131:AQ138" si="146">AO131/($E$7/100)</f>
        <v>0</v>
      </c>
    </row>
    <row r="132" spans="1:44" ht="15.75" hidden="1">
      <c r="B132" s="24"/>
      <c r="C132" s="44" t="s">
        <v>201</v>
      </c>
      <c r="D132" s="44"/>
      <c r="E132" s="82"/>
      <c r="F132" s="20"/>
      <c r="G132" s="73">
        <v>1468.9842814344579</v>
      </c>
      <c r="H132" s="82"/>
      <c r="I132" s="57"/>
      <c r="J132" s="186">
        <f t="shared" si="134"/>
        <v>1.8212157523595502</v>
      </c>
      <c r="K132" s="57"/>
      <c r="L132" s="74">
        <v>1.8212157523595502</v>
      </c>
      <c r="M132" s="74">
        <v>0.48859484228188349</v>
      </c>
      <c r="N132" s="140"/>
      <c r="P132" s="153">
        <v>1</v>
      </c>
      <c r="Q132" s="137">
        <f t="shared" si="135"/>
        <v>1468.9842814344579</v>
      </c>
      <c r="R132" s="544">
        <f t="shared" si="136"/>
        <v>1.8212157523595502</v>
      </c>
      <c r="S132" s="544">
        <f t="shared" si="137"/>
        <v>0.48859484228188349</v>
      </c>
      <c r="V132" s="153">
        <v>1</v>
      </c>
      <c r="W132" s="137">
        <f t="shared" si="138"/>
        <v>1468.9842814344579</v>
      </c>
      <c r="X132" s="544">
        <f t="shared" si="139"/>
        <v>1.8212157523595502</v>
      </c>
      <c r="Y132" s="544">
        <f t="shared" si="140"/>
        <v>0.48859484228188349</v>
      </c>
      <c r="AB132" s="153">
        <v>1</v>
      </c>
      <c r="AC132" s="595">
        <f t="shared" ref="AC132:AC133" si="147">W132*AB132</f>
        <v>1468.9842814344579</v>
      </c>
      <c r="AD132" s="544">
        <f t="shared" si="141"/>
        <v>1.8212157523595502</v>
      </c>
      <c r="AE132" s="544">
        <f t="shared" si="142"/>
        <v>0.48859484228188349</v>
      </c>
      <c r="AH132" s="153"/>
      <c r="AI132" s="137">
        <f t="shared" ref="AI132:AI133" si="148">AC132*AH132</f>
        <v>0</v>
      </c>
      <c r="AJ132" s="544">
        <f t="shared" si="143"/>
        <v>0</v>
      </c>
      <c r="AK132" s="544">
        <f t="shared" si="144"/>
        <v>0</v>
      </c>
      <c r="AN132" s="153"/>
      <c r="AO132" s="137">
        <f t="shared" ref="AO132:AO133" si="149">AI132*AN132</f>
        <v>0</v>
      </c>
      <c r="AP132" s="544">
        <f t="shared" si="145"/>
        <v>0</v>
      </c>
      <c r="AQ132" s="544">
        <f t="shared" si="146"/>
        <v>0</v>
      </c>
    </row>
    <row r="133" spans="1:44" ht="15.75" hidden="1">
      <c r="B133" s="24"/>
      <c r="C133" s="44" t="s">
        <v>202</v>
      </c>
      <c r="D133" s="44"/>
      <c r="E133" s="104"/>
      <c r="F133" s="20"/>
      <c r="G133" s="73">
        <v>6165.0838672237587</v>
      </c>
      <c r="H133" s="82"/>
      <c r="I133" s="57"/>
      <c r="J133" s="186">
        <f t="shared" si="134"/>
        <v>8.3060187142360817</v>
      </c>
      <c r="K133" s="57"/>
      <c r="L133" s="74">
        <v>7.6433410455839539</v>
      </c>
      <c r="M133" s="74">
        <v>2.0505516756240216</v>
      </c>
      <c r="N133" s="140"/>
      <c r="P133" s="153">
        <v>1.0247999999999999</v>
      </c>
      <c r="Q133" s="137">
        <f t="shared" si="135"/>
        <v>6317.9779471309075</v>
      </c>
      <c r="R133" s="544">
        <f t="shared" si="136"/>
        <v>7.8328959035144354</v>
      </c>
      <c r="S133" s="544">
        <f t="shared" si="137"/>
        <v>2.1014053571794968</v>
      </c>
      <c r="V133" s="153">
        <v>1.0867</v>
      </c>
      <c r="W133" s="137">
        <f t="shared" si="138"/>
        <v>6699.5966385120582</v>
      </c>
      <c r="X133" s="544">
        <f t="shared" si="139"/>
        <v>8.3060187142360817</v>
      </c>
      <c r="Y133" s="544">
        <f t="shared" si="140"/>
        <v>2.2283345059006239</v>
      </c>
      <c r="AB133" s="153">
        <v>1.0366</v>
      </c>
      <c r="AC133" s="595">
        <f t="shared" si="147"/>
        <v>6944.8018754815994</v>
      </c>
      <c r="AD133" s="544">
        <f t="shared" si="141"/>
        <v>8.6100189991771234</v>
      </c>
      <c r="AE133" s="544">
        <f t="shared" si="142"/>
        <v>2.3098915488165868</v>
      </c>
      <c r="AH133" s="153"/>
      <c r="AI133" s="137">
        <f t="shared" si="148"/>
        <v>0</v>
      </c>
      <c r="AJ133" s="544">
        <f t="shared" si="143"/>
        <v>0</v>
      </c>
      <c r="AK133" s="544">
        <f t="shared" si="144"/>
        <v>0</v>
      </c>
      <c r="AN133" s="153"/>
      <c r="AO133" s="137">
        <f t="shared" si="149"/>
        <v>0</v>
      </c>
      <c r="AP133" s="544">
        <f t="shared" si="145"/>
        <v>0</v>
      </c>
      <c r="AQ133" s="544">
        <f t="shared" si="146"/>
        <v>0</v>
      </c>
    </row>
    <row r="134" spans="1:44" ht="15.75" hidden="1">
      <c r="B134" s="24"/>
      <c r="C134" s="44" t="s">
        <v>56</v>
      </c>
      <c r="D134" s="44"/>
      <c r="E134" s="104"/>
      <c r="F134" s="20"/>
      <c r="G134" s="73">
        <v>590.5236207617836</v>
      </c>
      <c r="H134" s="82"/>
      <c r="I134" s="57"/>
      <c r="J134" s="186">
        <f t="shared" si="134"/>
        <v>0.9242266965752024</v>
      </c>
      <c r="K134" s="57"/>
      <c r="L134" s="74">
        <v>0.73211873936565464</v>
      </c>
      <c r="M134" s="74">
        <v>0.19641244565808769</v>
      </c>
      <c r="N134" s="140"/>
      <c r="P134" s="153">
        <v>0.93620000000000003</v>
      </c>
      <c r="Q134" s="137">
        <f t="shared" si="135"/>
        <v>552.84821375718184</v>
      </c>
      <c r="R134" s="544">
        <f t="shared" si="136"/>
        <v>0.68540956379412599</v>
      </c>
      <c r="S134" s="544">
        <f t="shared" si="137"/>
        <v>0.1838813316251017</v>
      </c>
      <c r="V134" s="153">
        <v>1.2624</v>
      </c>
      <c r="W134" s="137">
        <f t="shared" si="138"/>
        <v>745.47701884967557</v>
      </c>
      <c r="X134" s="544">
        <f t="shared" si="139"/>
        <v>0.9242266965752024</v>
      </c>
      <c r="Y134" s="544">
        <f t="shared" si="140"/>
        <v>0.24795107139876987</v>
      </c>
      <c r="AB134" s="153">
        <v>1.0124</v>
      </c>
      <c r="AC134" s="595">
        <f t="shared" ref="AC134:AC137" si="150">W134*AB134</f>
        <v>754.72093388341148</v>
      </c>
      <c r="AD134" s="544">
        <f t="shared" si="141"/>
        <v>0.93568710761273477</v>
      </c>
      <c r="AE134" s="544">
        <f t="shared" si="142"/>
        <v>0.25102566468411458</v>
      </c>
      <c r="AH134" s="153"/>
      <c r="AI134" s="137">
        <f t="shared" ref="AI134:AI137" si="151">AC134*AH134</f>
        <v>0</v>
      </c>
      <c r="AJ134" s="544">
        <f t="shared" si="143"/>
        <v>0</v>
      </c>
      <c r="AK134" s="544">
        <f t="shared" si="144"/>
        <v>0</v>
      </c>
      <c r="AN134" s="153"/>
      <c r="AO134" s="137">
        <f t="shared" ref="AO134:AO137" si="152">AI134*AN134</f>
        <v>0</v>
      </c>
      <c r="AP134" s="544">
        <f t="shared" si="145"/>
        <v>0</v>
      </c>
      <c r="AQ134" s="544">
        <f t="shared" si="146"/>
        <v>0</v>
      </c>
    </row>
    <row r="135" spans="1:44" ht="15.75" hidden="1">
      <c r="B135" s="24"/>
      <c r="C135" s="44" t="s">
        <v>203</v>
      </c>
      <c r="D135" s="44"/>
      <c r="E135" s="82"/>
      <c r="F135" s="20"/>
      <c r="G135" s="73">
        <v>662.61965592713648</v>
      </c>
      <c r="H135" s="82"/>
      <c r="I135" s="57"/>
      <c r="J135" s="186">
        <f t="shared" si="134"/>
        <v>0.91647320039802949</v>
      </c>
      <c r="K135" s="57"/>
      <c r="L135" s="74">
        <v>0.8215018842946068</v>
      </c>
      <c r="M135" s="74">
        <v>0.22039211063882314</v>
      </c>
      <c r="N135" s="140"/>
      <c r="P135" s="153">
        <f>356/346</f>
        <v>1.0289017341040463</v>
      </c>
      <c r="Q135" s="137">
        <f t="shared" si="135"/>
        <v>681.77051303485723</v>
      </c>
      <c r="R135" s="544">
        <f t="shared" si="136"/>
        <v>0.84524471332046258</v>
      </c>
      <c r="S135" s="544">
        <f t="shared" si="137"/>
        <v>0.22676182481913595</v>
      </c>
      <c r="V135" s="153">
        <f>386/346</f>
        <v>1.1156069364161849</v>
      </c>
      <c r="W135" s="137">
        <f t="shared" si="138"/>
        <v>739.22308435801926</v>
      </c>
      <c r="X135" s="544">
        <f t="shared" si="139"/>
        <v>0.91647320039802949</v>
      </c>
      <c r="Y135" s="544">
        <f t="shared" si="140"/>
        <v>0.24587096736007436</v>
      </c>
      <c r="AB135" s="153">
        <f>391/386</f>
        <v>1.0129533678756477</v>
      </c>
      <c r="AC135" s="595">
        <f t="shared" si="150"/>
        <v>748.7985129118797</v>
      </c>
      <c r="AD135" s="544">
        <f t="shared" si="141"/>
        <v>0.92834461491095743</v>
      </c>
      <c r="AE135" s="544">
        <f t="shared" si="142"/>
        <v>0.24905582445023078</v>
      </c>
      <c r="AH135" s="153"/>
      <c r="AI135" s="137">
        <f t="shared" si="151"/>
        <v>0</v>
      </c>
      <c r="AJ135" s="544">
        <f t="shared" si="143"/>
        <v>0</v>
      </c>
      <c r="AK135" s="544">
        <f t="shared" si="144"/>
        <v>0</v>
      </c>
      <c r="AN135" s="153"/>
      <c r="AO135" s="137">
        <f t="shared" si="152"/>
        <v>0</v>
      </c>
      <c r="AP135" s="544">
        <f t="shared" si="145"/>
        <v>0</v>
      </c>
      <c r="AQ135" s="544">
        <f t="shared" si="146"/>
        <v>0</v>
      </c>
    </row>
    <row r="136" spans="1:44" ht="15.75" hidden="1">
      <c r="B136" s="24"/>
      <c r="C136" s="44" t="s">
        <v>204</v>
      </c>
      <c r="D136" s="44"/>
      <c r="E136" s="104"/>
      <c r="F136" s="20"/>
      <c r="G136" s="73">
        <v>770.84565952380967</v>
      </c>
      <c r="H136" s="82"/>
      <c r="I136" s="57"/>
      <c r="J136" s="186">
        <f t="shared" si="134"/>
        <v>1.048378988277451</v>
      </c>
      <c r="K136" s="57"/>
      <c r="L136" s="74">
        <v>0.95567820262301817</v>
      </c>
      <c r="M136" s="74">
        <v>0.25638886555745255</v>
      </c>
      <c r="N136" s="140"/>
      <c r="P136" s="153">
        <v>1.0490999999999999</v>
      </c>
      <c r="Q136" s="137">
        <f t="shared" si="135"/>
        <v>808.6941814064287</v>
      </c>
      <c r="R136" s="544">
        <f t="shared" si="136"/>
        <v>1.0026020023718083</v>
      </c>
      <c r="S136" s="544">
        <f t="shared" si="137"/>
        <v>0.26897755885632346</v>
      </c>
      <c r="V136" s="153">
        <v>1.097</v>
      </c>
      <c r="W136" s="137">
        <f t="shared" si="138"/>
        <v>845.61768849761916</v>
      </c>
      <c r="X136" s="544">
        <f t="shared" si="139"/>
        <v>1.048378988277451</v>
      </c>
      <c r="Y136" s="544">
        <f t="shared" si="140"/>
        <v>0.28125858551652544</v>
      </c>
      <c r="AB136" s="153">
        <v>1</v>
      </c>
      <c r="AC136" s="137">
        <f t="shared" si="150"/>
        <v>845.61768849761916</v>
      </c>
      <c r="AD136" s="544">
        <f t="shared" si="141"/>
        <v>1.048378988277451</v>
      </c>
      <c r="AE136" s="544">
        <f t="shared" si="142"/>
        <v>0.28125858551652544</v>
      </c>
      <c r="AH136" s="153"/>
      <c r="AI136" s="137">
        <f t="shared" si="151"/>
        <v>0</v>
      </c>
      <c r="AJ136" s="544">
        <f t="shared" si="143"/>
        <v>0</v>
      </c>
      <c r="AK136" s="544">
        <f t="shared" si="144"/>
        <v>0</v>
      </c>
      <c r="AN136" s="153"/>
      <c r="AO136" s="137">
        <f t="shared" si="152"/>
        <v>0</v>
      </c>
      <c r="AP136" s="544">
        <f t="shared" si="145"/>
        <v>0</v>
      </c>
      <c r="AQ136" s="544">
        <f t="shared" si="146"/>
        <v>0</v>
      </c>
    </row>
    <row r="137" spans="1:44" ht="15.75" hidden="1">
      <c r="B137" s="24"/>
      <c r="C137" s="44" t="s">
        <v>205</v>
      </c>
      <c r="D137" s="44"/>
      <c r="E137" s="82"/>
      <c r="F137" s="20"/>
      <c r="G137" s="73">
        <v>1159.13511453316</v>
      </c>
      <c r="H137" s="82"/>
      <c r="I137" s="57"/>
      <c r="J137" s="186">
        <f t="shared" si="134"/>
        <v>1.4794036179414862</v>
      </c>
      <c r="K137" s="57"/>
      <c r="L137" s="74">
        <v>1.4370712855003895</v>
      </c>
      <c r="M137" s="74">
        <v>0.38553675871581555</v>
      </c>
      <c r="N137" s="140"/>
      <c r="P137" s="153">
        <f>131.7/129</f>
        <v>1.0209302325581395</v>
      </c>
      <c r="Q137" s="137">
        <f t="shared" si="135"/>
        <v>1183.3960820466448</v>
      </c>
      <c r="R137" s="544">
        <f t="shared" si="136"/>
        <v>1.4671495217085373</v>
      </c>
      <c r="S137" s="544">
        <f t="shared" si="137"/>
        <v>0.39360613273544892</v>
      </c>
      <c r="V137" s="153">
        <f>132.8/129</f>
        <v>1.0294573643410854</v>
      </c>
      <c r="W137" s="137">
        <f t="shared" si="138"/>
        <v>1193.280179922509</v>
      </c>
      <c r="X137" s="544">
        <f t="shared" si="139"/>
        <v>1.4794036179414862</v>
      </c>
      <c r="Y137" s="544">
        <f t="shared" si="140"/>
        <v>0.39689365548418842</v>
      </c>
      <c r="AB137" s="153">
        <f>137.8/132.8</f>
        <v>1.0376506024096386</v>
      </c>
      <c r="AC137" s="137">
        <f t="shared" si="150"/>
        <v>1238.2078975400734</v>
      </c>
      <c r="AD137" s="544">
        <f t="shared" si="141"/>
        <v>1.5351040553639821</v>
      </c>
      <c r="AE137" s="544">
        <f t="shared" si="142"/>
        <v>0.41183694070573168</v>
      </c>
      <c r="AH137" s="153"/>
      <c r="AI137" s="137">
        <f t="shared" si="151"/>
        <v>0</v>
      </c>
      <c r="AJ137" s="544">
        <f t="shared" si="143"/>
        <v>0</v>
      </c>
      <c r="AK137" s="544">
        <f t="shared" si="144"/>
        <v>0</v>
      </c>
      <c r="AN137" s="153"/>
      <c r="AO137" s="137">
        <f t="shared" si="152"/>
        <v>0</v>
      </c>
      <c r="AP137" s="544">
        <f t="shared" si="145"/>
        <v>0</v>
      </c>
      <c r="AQ137" s="544">
        <f t="shared" si="146"/>
        <v>0</v>
      </c>
    </row>
    <row r="138" spans="1:44" ht="15.75" hidden="1">
      <c r="B138" s="26"/>
      <c r="C138" s="27" t="s">
        <v>6</v>
      </c>
      <c r="D138" s="27"/>
      <c r="E138" s="101"/>
      <c r="F138" s="101"/>
      <c r="G138" s="77">
        <v>11650.457553860473</v>
      </c>
      <c r="H138" s="102"/>
      <c r="J138" s="187">
        <f t="shared" si="134"/>
        <v>15.473357912229414</v>
      </c>
      <c r="L138" s="79">
        <v>14.44399173459345</v>
      </c>
      <c r="M138" s="79">
        <v>3.8750268079667087</v>
      </c>
      <c r="N138" s="203">
        <f>G138/$N$9</f>
        <v>1.6191140718289955E-2</v>
      </c>
      <c r="P138" s="156"/>
      <c r="Q138" s="157">
        <f>SUM(Q131:Q137)</f>
        <v>11119.936369554693</v>
      </c>
      <c r="R138" s="559">
        <f t="shared" si="136"/>
        <v>13.786262751357054</v>
      </c>
      <c r="S138" s="559">
        <f t="shared" si="137"/>
        <v>3.6985716085142246</v>
      </c>
      <c r="T138" s="411">
        <f>Q138/T$9</f>
        <v>1.4877168316538347E-2</v>
      </c>
      <c r="V138" s="156"/>
      <c r="W138" s="157">
        <f>SUM(W131:W137)</f>
        <v>12480.739596407278</v>
      </c>
      <c r="X138" s="559">
        <f t="shared" si="139"/>
        <v>15.473357912229414</v>
      </c>
      <c r="Y138" s="559">
        <f t="shared" si="140"/>
        <v>4.151184646246298</v>
      </c>
      <c r="Z138" s="411">
        <f>W138/Z$9</f>
        <v>1.6347654646216105E-2</v>
      </c>
      <c r="AB138" s="156"/>
      <c r="AC138" s="157">
        <f>SUM(AC131:AC137)</f>
        <v>12774.301769301783</v>
      </c>
      <c r="AD138" s="559">
        <f t="shared" si="141"/>
        <v>15.837310107177542</v>
      </c>
      <c r="AE138" s="559">
        <f t="shared" si="142"/>
        <v>4.2488255573016946</v>
      </c>
      <c r="AF138" s="411">
        <f>AC138/AF$9</f>
        <v>1.4970158043802338E-2</v>
      </c>
      <c r="AH138" s="156"/>
      <c r="AI138" s="157">
        <f>SUM(AI131:AI137)</f>
        <v>0</v>
      </c>
      <c r="AJ138" s="559">
        <f t="shared" si="143"/>
        <v>0</v>
      </c>
      <c r="AK138" s="559">
        <f t="shared" si="144"/>
        <v>0</v>
      </c>
      <c r="AL138" s="411">
        <f>AI138/AL$9</f>
        <v>0</v>
      </c>
      <c r="AN138" s="156"/>
      <c r="AO138" s="157">
        <f>SUM(AO131:AO137)</f>
        <v>0</v>
      </c>
      <c r="AP138" s="559">
        <f t="shared" si="145"/>
        <v>0</v>
      </c>
      <c r="AQ138" s="559">
        <f t="shared" si="146"/>
        <v>0</v>
      </c>
      <c r="AR138" s="411">
        <f>AO138/AR$9</f>
        <v>0</v>
      </c>
    </row>
    <row r="139" spans="1:44" ht="15.75" hidden="1">
      <c r="B139" s="28"/>
      <c r="C139" s="42"/>
      <c r="D139" s="42"/>
      <c r="E139" s="95"/>
      <c r="F139" s="96"/>
      <c r="G139" s="95"/>
      <c r="H139" s="95"/>
      <c r="J139" s="193"/>
      <c r="L139" s="95"/>
      <c r="M139" s="95"/>
      <c r="N139" s="145"/>
    </row>
    <row r="140" spans="1:44" ht="15" hidden="1">
      <c r="B140" s="17">
        <v>20</v>
      </c>
      <c r="C140" s="18" t="s">
        <v>32</v>
      </c>
      <c r="D140" s="18"/>
      <c r="E140" s="18"/>
      <c r="F140" s="18"/>
      <c r="G140" s="68" t="s">
        <v>67</v>
      </c>
      <c r="H140" s="91"/>
      <c r="J140" s="184" t="s">
        <v>86</v>
      </c>
      <c r="L140" s="69" t="s">
        <v>278</v>
      </c>
      <c r="M140" s="69" t="s">
        <v>279</v>
      </c>
      <c r="N140" s="138" t="s">
        <v>83</v>
      </c>
      <c r="Q140" s="69" t="s">
        <v>67</v>
      </c>
      <c r="R140" s="69" t="s">
        <v>278</v>
      </c>
      <c r="S140" s="69" t="s">
        <v>279</v>
      </c>
      <c r="T140" s="138" t="s">
        <v>83</v>
      </c>
      <c r="W140" s="69" t="s">
        <v>67</v>
      </c>
      <c r="X140" s="69" t="s">
        <v>278</v>
      </c>
      <c r="Y140" s="69" t="s">
        <v>279</v>
      </c>
      <c r="Z140" s="138" t="s">
        <v>83</v>
      </c>
      <c r="AC140" s="69" t="s">
        <v>67</v>
      </c>
      <c r="AD140" s="69" t="s">
        <v>278</v>
      </c>
      <c r="AE140" s="69" t="s">
        <v>279</v>
      </c>
      <c r="AF140" s="138" t="s">
        <v>83</v>
      </c>
      <c r="AI140" s="69" t="s">
        <v>67</v>
      </c>
      <c r="AJ140" s="69" t="s">
        <v>278</v>
      </c>
      <c r="AK140" s="69" t="s">
        <v>279</v>
      </c>
      <c r="AL140" s="138" t="s">
        <v>83</v>
      </c>
      <c r="AO140" s="69" t="s">
        <v>67</v>
      </c>
      <c r="AP140" s="69" t="s">
        <v>278</v>
      </c>
      <c r="AQ140" s="69" t="s">
        <v>279</v>
      </c>
      <c r="AR140" s="138" t="s">
        <v>83</v>
      </c>
    </row>
    <row r="141" spans="1:44" ht="15.75" hidden="1">
      <c r="B141" s="22"/>
      <c r="C141" s="23" t="s">
        <v>59</v>
      </c>
      <c r="D141" s="23"/>
      <c r="E141" s="103"/>
      <c r="F141" s="81"/>
      <c r="G141" s="72">
        <v>28144.076397511602</v>
      </c>
      <c r="H141" s="82"/>
      <c r="J141" s="185">
        <f t="shared" ref="J141:J145" si="153">IF($D$2=$L$2,L141,IF($D$2=$M$2,M141,IF($D$2=$N$2,N141,IF($D$2=$R$2,R141,IF($D$2=$S$2,S141,IF($D$2=$T$2,T141,IF($D$2=$X$2,X141,IF($D$2=$Y$2,Y141,IF($D$2=$Z$2,Z141,IF($D$2=$AD$2,AD141,IF($D$2=$AE$2,AE141,IF($D$2=$AF$2,AF141,IF($D$2=$AJ$2,AJ141,IF($D$2=$AK$2,AK141,IF($D$2=$AL$2,AL141,IF($D$2=$AP$2,AP141,IF($D$2=$AQ$2,AQ141,IF($D$2=$AR$2,AR141))))))))))))))))))</f>
        <v>34.89243276361475</v>
      </c>
      <c r="L141" s="74">
        <v>34.89243276361475</v>
      </c>
      <c r="M141" s="74">
        <v>9.3609242402400721</v>
      </c>
      <c r="N141" s="140"/>
      <c r="Q141" s="137">
        <f>G141</f>
        <v>28144.076397511602</v>
      </c>
      <c r="R141" s="544">
        <f>Q141/$E$6</f>
        <v>34.89243276361475</v>
      </c>
      <c r="S141" s="544">
        <f>Q141/($E$7/100)</f>
        <v>9.3609242402400721</v>
      </c>
      <c r="W141" s="137">
        <f>Q141</f>
        <v>28144.076397511602</v>
      </c>
      <c r="X141" s="544">
        <f>W141/$E$6</f>
        <v>34.89243276361475</v>
      </c>
      <c r="Y141" s="544">
        <f>W141/($E$7/100)</f>
        <v>9.3609242402400721</v>
      </c>
      <c r="AC141" s="137">
        <f>W141</f>
        <v>28144.076397511602</v>
      </c>
      <c r="AD141" s="544">
        <f>AC141/$E$6</f>
        <v>34.89243276361475</v>
      </c>
      <c r="AE141" s="544">
        <f>AC141/($E$7/100)</f>
        <v>9.3609242402400721</v>
      </c>
      <c r="AI141" s="137">
        <f>AC141</f>
        <v>28144.076397511602</v>
      </c>
      <c r="AJ141" s="544">
        <f>AI141/$E$6</f>
        <v>34.89243276361475</v>
      </c>
      <c r="AK141" s="544">
        <f>AI141/($E$7/100)</f>
        <v>9.3609242402400721</v>
      </c>
      <c r="AO141" s="137">
        <f>AI141</f>
        <v>28144.076397511602</v>
      </c>
      <c r="AP141" s="544">
        <f>AO141/$E$6</f>
        <v>34.89243276361475</v>
      </c>
      <c r="AQ141" s="544">
        <f>AO141/($E$7/100)</f>
        <v>9.3609242402400721</v>
      </c>
    </row>
    <row r="142" spans="1:44" ht="15.75" hidden="1">
      <c r="B142" s="406"/>
      <c r="C142" s="109" t="s">
        <v>48</v>
      </c>
      <c r="D142" s="109"/>
      <c r="E142" s="25"/>
      <c r="F142" s="20"/>
      <c r="G142" s="73">
        <v>19193.62806101039</v>
      </c>
      <c r="H142" s="82"/>
      <c r="I142" s="57"/>
      <c r="J142" s="186">
        <f t="shared" si="153"/>
        <v>23.795855552319633</v>
      </c>
      <c r="K142" s="57"/>
      <c r="L142" s="74">
        <v>23.795855552319633</v>
      </c>
      <c r="M142" s="74">
        <v>6.3839401100527846</v>
      </c>
      <c r="N142" s="140"/>
      <c r="Q142" s="137">
        <f>G142</f>
        <v>19193.62806101039</v>
      </c>
      <c r="R142" s="544">
        <f>Q142/$E$6</f>
        <v>23.795855552319633</v>
      </c>
      <c r="S142" s="544">
        <f>Q142/($E$7/100)</f>
        <v>6.3839401100527846</v>
      </c>
      <c r="W142" s="137">
        <f>Q142</f>
        <v>19193.62806101039</v>
      </c>
      <c r="X142" s="544">
        <f>W142/$E$6</f>
        <v>23.795855552319633</v>
      </c>
      <c r="Y142" s="544">
        <f>W142/($E$7/100)</f>
        <v>6.3839401100527846</v>
      </c>
      <c r="AC142" s="137">
        <f>W142</f>
        <v>19193.62806101039</v>
      </c>
      <c r="AD142" s="544">
        <f>AC142/$E$6</f>
        <v>23.795855552319633</v>
      </c>
      <c r="AE142" s="544">
        <f>AC142/($E$7/100)</f>
        <v>6.3839401100527846</v>
      </c>
      <c r="AI142" s="137">
        <f>AC142</f>
        <v>19193.62806101039</v>
      </c>
      <c r="AJ142" s="544">
        <f>AI142/$E$6</f>
        <v>23.795855552319633</v>
      </c>
      <c r="AK142" s="544">
        <f>AI142/($E$7/100)</f>
        <v>6.3839401100527846</v>
      </c>
      <c r="AO142" s="137">
        <f>AI142</f>
        <v>19193.62806101039</v>
      </c>
      <c r="AP142" s="544">
        <f>AO142/$E$6</f>
        <v>23.795855552319633</v>
      </c>
      <c r="AQ142" s="544">
        <f>AO142/($E$7/100)</f>
        <v>6.3839401100527846</v>
      </c>
    </row>
    <row r="143" spans="1:44" ht="15.75" hidden="1">
      <c r="B143" s="406"/>
      <c r="C143" s="109" t="s">
        <v>261</v>
      </c>
      <c r="D143" s="109"/>
      <c r="E143" s="25"/>
      <c r="F143" s="20"/>
      <c r="G143" s="73"/>
      <c r="H143" s="82"/>
      <c r="I143" s="57"/>
      <c r="J143" s="186">
        <f t="shared" si="153"/>
        <v>0</v>
      </c>
      <c r="K143" s="57"/>
      <c r="L143" s="74">
        <v>0</v>
      </c>
      <c r="M143" s="74">
        <v>0</v>
      </c>
      <c r="N143" s="140"/>
      <c r="P143" s="158"/>
      <c r="Q143" s="137">
        <f>P143</f>
        <v>0</v>
      </c>
      <c r="R143" s="544">
        <f>Q143/$E$6</f>
        <v>0</v>
      </c>
      <c r="S143" s="544">
        <f>Q143/($E$7/100)</f>
        <v>0</v>
      </c>
      <c r="V143" s="158"/>
      <c r="W143" s="137">
        <f>V143</f>
        <v>0</v>
      </c>
      <c r="X143" s="544">
        <f>W143/$E$6</f>
        <v>0</v>
      </c>
      <c r="Y143" s="544">
        <f>W143/($E$7/100)</f>
        <v>0</v>
      </c>
      <c r="AC143" s="137"/>
      <c r="AD143" s="544"/>
      <c r="AE143" s="544"/>
      <c r="AI143" s="137"/>
      <c r="AJ143" s="544"/>
      <c r="AK143" s="544"/>
      <c r="AO143" s="137"/>
      <c r="AP143" s="544"/>
      <c r="AQ143" s="544"/>
    </row>
    <row r="144" spans="1:44" ht="15.75" hidden="1">
      <c r="B144" s="24"/>
      <c r="C144" s="44" t="s">
        <v>60</v>
      </c>
      <c r="D144" s="44"/>
      <c r="E144" s="82"/>
      <c r="F144" s="20"/>
      <c r="G144" s="73">
        <v>895.21167057099012</v>
      </c>
      <c r="H144" s="82"/>
      <c r="I144" s="57"/>
      <c r="J144" s="186">
        <f t="shared" si="153"/>
        <v>1.1098645620278125</v>
      </c>
      <c r="K144" s="57"/>
      <c r="L144" s="74">
        <v>1.1098645620278125</v>
      </c>
      <c r="M144" s="74">
        <v>0.29775390419046482</v>
      </c>
      <c r="N144" s="140"/>
      <c r="Q144" s="137">
        <f>G144</f>
        <v>895.21167057099012</v>
      </c>
      <c r="R144" s="544">
        <f>Q144/$E$6</f>
        <v>1.1098645620278125</v>
      </c>
      <c r="S144" s="544">
        <f>Q144/($E$7/100)</f>
        <v>0.29775390419046482</v>
      </c>
      <c r="W144" s="137">
        <f>Q144</f>
        <v>895.21167057099012</v>
      </c>
      <c r="X144" s="544">
        <f>W144/$E$6</f>
        <v>1.1098645620278125</v>
      </c>
      <c r="Y144" s="544">
        <f>W144/($E$7/100)</f>
        <v>0.29775390419046482</v>
      </c>
      <c r="AC144" s="137">
        <f>W144</f>
        <v>895.21167057099012</v>
      </c>
      <c r="AD144" s="544">
        <f>AC144/$E$6</f>
        <v>1.1098645620278125</v>
      </c>
      <c r="AE144" s="544">
        <f>AC144/($E$7/100)</f>
        <v>0.29775390419046482</v>
      </c>
      <c r="AI144" s="137">
        <f>AC144</f>
        <v>895.21167057099012</v>
      </c>
      <c r="AJ144" s="544">
        <f>AI144/$E$6</f>
        <v>1.1098645620278125</v>
      </c>
      <c r="AK144" s="544">
        <f>AI144/($E$7/100)</f>
        <v>0.29775390419046482</v>
      </c>
      <c r="AO144" s="137">
        <f>AI144</f>
        <v>895.21167057099012</v>
      </c>
      <c r="AP144" s="544">
        <f>AO144/$E$6</f>
        <v>1.1098645620278125</v>
      </c>
      <c r="AQ144" s="544">
        <f>AO144/($E$7/100)</f>
        <v>0.29775390419046482</v>
      </c>
    </row>
    <row r="145" spans="1:44" ht="15.75" hidden="1">
      <c r="B145" s="26"/>
      <c r="C145" s="27" t="s">
        <v>6</v>
      </c>
      <c r="D145" s="27"/>
      <c r="E145" s="101"/>
      <c r="F145" s="101"/>
      <c r="G145" s="77">
        <v>48232.916129092984</v>
      </c>
      <c r="H145" s="102"/>
      <c r="J145" s="187">
        <f t="shared" si="153"/>
        <v>59.798152877962195</v>
      </c>
      <c r="L145" s="79">
        <v>59.798152877962195</v>
      </c>
      <c r="M145" s="79">
        <v>16.042618254483322</v>
      </c>
      <c r="N145" s="203">
        <f>G145/$N$9</f>
        <v>6.7031352948095063E-2</v>
      </c>
      <c r="P145" s="156"/>
      <c r="Q145" s="157">
        <f>SUM(Q141:Q144)</f>
        <v>48232.916129092984</v>
      </c>
      <c r="R145" s="559">
        <f>Q145/$E$6</f>
        <v>59.798152877962195</v>
      </c>
      <c r="S145" s="559">
        <f>Q145/($E$7/100)</f>
        <v>16.042618254483322</v>
      </c>
      <c r="T145" s="411">
        <f>Q145/T$9</f>
        <v>6.4529974615199104E-2</v>
      </c>
      <c r="V145" s="156"/>
      <c r="W145" s="157">
        <f>SUM(W141:W144)</f>
        <v>48232.916129092984</v>
      </c>
      <c r="X145" s="559">
        <f>W145/$E$6</f>
        <v>59.798152877962195</v>
      </c>
      <c r="Y145" s="559">
        <f>W145/($E$7/100)</f>
        <v>16.042618254483322</v>
      </c>
      <c r="Z145" s="411">
        <f>W145/Z$9</f>
        <v>6.3176949520306946E-2</v>
      </c>
      <c r="AB145" s="156"/>
      <c r="AC145" s="157">
        <f>SUM(AC141:AC144)</f>
        <v>48232.916129092984</v>
      </c>
      <c r="AD145" s="559">
        <f>AC145/$E$6</f>
        <v>59.798152877962195</v>
      </c>
      <c r="AE145" s="559">
        <f>AC145/($E$7/100)</f>
        <v>16.042618254483322</v>
      </c>
      <c r="AF145" s="411">
        <f>AC145/AF$9</f>
        <v>5.6523979972132037E-2</v>
      </c>
      <c r="AH145" s="156"/>
      <c r="AI145" s="157">
        <f>SUM(AI141:AI144)</f>
        <v>48232.916129092984</v>
      </c>
      <c r="AJ145" s="559">
        <f>AI145/$E$6</f>
        <v>59.798152877962195</v>
      </c>
      <c r="AK145" s="559">
        <f>AI145/($E$7/100)</f>
        <v>16.042618254483322</v>
      </c>
      <c r="AL145" s="411">
        <f>AI145/AL$9</f>
        <v>0.94070575646884114</v>
      </c>
      <c r="AN145" s="156"/>
      <c r="AO145" s="157">
        <f>SUM(AO141:AO144)</f>
        <v>48232.916129092984</v>
      </c>
      <c r="AP145" s="559">
        <f>AO145/$E$6</f>
        <v>59.798152877962195</v>
      </c>
      <c r="AQ145" s="559">
        <f>AO145/($E$7/100)</f>
        <v>16.042618254483322</v>
      </c>
      <c r="AR145" s="411">
        <f>AO145/AR$9</f>
        <v>0.94070575646884114</v>
      </c>
    </row>
    <row r="146" spans="1:44" ht="15.75" hidden="1">
      <c r="B146" s="34"/>
      <c r="C146" s="42"/>
      <c r="D146" s="42"/>
      <c r="E146" s="115"/>
      <c r="F146" s="115"/>
      <c r="G146" s="97"/>
      <c r="H146" s="98"/>
      <c r="J146" s="194"/>
      <c r="L146" s="114"/>
      <c r="M146" s="114"/>
      <c r="N146" s="97"/>
    </row>
    <row r="147" spans="1:44" ht="15.75" hidden="1">
      <c r="A147" s="21"/>
      <c r="B147" s="17">
        <v>25</v>
      </c>
      <c r="C147" s="18" t="s">
        <v>58</v>
      </c>
      <c r="D147" s="18" t="s">
        <v>65</v>
      </c>
      <c r="E147" s="18"/>
      <c r="F147" s="18" t="s">
        <v>66</v>
      </c>
      <c r="G147" s="68" t="s">
        <v>67</v>
      </c>
      <c r="H147" s="91"/>
      <c r="J147" s="184" t="s">
        <v>86</v>
      </c>
      <c r="L147" s="69" t="s">
        <v>278</v>
      </c>
      <c r="M147" s="69" t="s">
        <v>279</v>
      </c>
      <c r="N147" s="138" t="s">
        <v>83</v>
      </c>
      <c r="Q147" s="69" t="s">
        <v>67</v>
      </c>
      <c r="R147" s="69" t="s">
        <v>278</v>
      </c>
      <c r="S147" s="69" t="s">
        <v>279</v>
      </c>
      <c r="T147" s="138" t="s">
        <v>83</v>
      </c>
      <c r="W147" s="69" t="s">
        <v>67</v>
      </c>
      <c r="X147" s="69" t="s">
        <v>278</v>
      </c>
      <c r="Y147" s="69" t="s">
        <v>279</v>
      </c>
      <c r="Z147" s="138" t="s">
        <v>83</v>
      </c>
      <c r="AC147" s="69" t="s">
        <v>67</v>
      </c>
      <c r="AD147" s="69" t="s">
        <v>278</v>
      </c>
      <c r="AE147" s="69" t="s">
        <v>279</v>
      </c>
      <c r="AF147" s="138" t="s">
        <v>83</v>
      </c>
      <c r="AI147" s="69" t="s">
        <v>67</v>
      </c>
      <c r="AJ147" s="69" t="s">
        <v>278</v>
      </c>
      <c r="AK147" s="69" t="s">
        <v>279</v>
      </c>
      <c r="AL147" s="138" t="s">
        <v>83</v>
      </c>
      <c r="AO147" s="69" t="s">
        <v>67</v>
      </c>
      <c r="AP147" s="69" t="s">
        <v>278</v>
      </c>
      <c r="AQ147" s="69" t="s">
        <v>279</v>
      </c>
      <c r="AR147" s="138" t="s">
        <v>83</v>
      </c>
    </row>
    <row r="148" spans="1:44" ht="15" hidden="1">
      <c r="B148" s="45"/>
      <c r="C148" s="46" t="s">
        <v>327</v>
      </c>
      <c r="D148" s="46"/>
      <c r="E148" s="116"/>
      <c r="F148" s="116"/>
      <c r="G148" s="117"/>
      <c r="H148" s="118"/>
      <c r="J148" s="195"/>
      <c r="L148" s="119"/>
      <c r="M148" s="119"/>
      <c r="N148" s="146"/>
    </row>
    <row r="149" spans="1:44" ht="15.75" hidden="1">
      <c r="B149" s="24"/>
      <c r="C149" s="25" t="s">
        <v>305</v>
      </c>
      <c r="D149" s="25">
        <v>48.122646900006139</v>
      </c>
      <c r="E149" s="107"/>
      <c r="F149" s="108">
        <v>401.04027594736357</v>
      </c>
      <c r="G149" s="73">
        <v>19299.119592096002</v>
      </c>
      <c r="H149" s="82"/>
      <c r="J149" s="186">
        <f t="shared" ref="J149:J176" si="154">IF($D$2=$L$2,L149,IF($D$2=$M$2,M149,IF($D$2=$N$2,N149,IF($D$2=$R$2,R149,IF($D$2=$S$2,S149,IF($D$2=$T$2,T149,IF($D$2=$X$2,X149,IF($D$2=$Y$2,Y149,IF($D$2=$Z$2,Z149,IF($D$2=$AD$2,AD149,IF($D$2=$AE$2,AE149,IF($D$2=$AF$2,AF149,IF($D$2=$AJ$2,AJ149,IF($D$2=$AK$2,AK149,IF($D$2=$AL$2,AL149,IF($D$2=$AP$2,AP149,IF($D$2=$AQ$2,AQ149,IF($D$2=$AR$2,AR149))))))))))))))))))</f>
        <v>25.22036764843952</v>
      </c>
      <c r="L149" s="74">
        <v>23.926641729259551</v>
      </c>
      <c r="M149" s="74">
        <v>6.4190273595518184</v>
      </c>
      <c r="N149" s="221">
        <f>G149/$N$6</f>
        <v>2.3185093642010251E-2</v>
      </c>
      <c r="P149" s="153">
        <f>426.79/410.39</f>
        <v>1.0399619873778603</v>
      </c>
      <c r="Q149" s="137">
        <f>G149*P149</f>
        <v>20070.350765639159</v>
      </c>
      <c r="R149" s="544">
        <f>Q149/$E$6</f>
        <v>24.882797884038805</v>
      </c>
      <c r="S149" s="544">
        <f t="shared" ref="S149:S150" si="155">Q149/($E$7/100)</f>
        <v>6.6755444498723682</v>
      </c>
      <c r="V149" s="153">
        <f>432.58/410.39</f>
        <v>1.0540705182874825</v>
      </c>
      <c r="W149" s="137">
        <f>G149*V149</f>
        <v>20342.63299093274</v>
      </c>
      <c r="X149" s="544">
        <f t="shared" ref="X149:X150" si="156">W149/$E$6</f>
        <v>25.22036764843952</v>
      </c>
      <c r="Y149" s="544">
        <f t="shared" ref="Y149:Y150" si="157">W149/($E$7/100)</f>
        <v>6.7661074957843157</v>
      </c>
      <c r="AB149" s="153">
        <f>462.83/432.58</f>
        <v>1.0699292616394656</v>
      </c>
      <c r="AC149" s="137">
        <f>W149*AB149</f>
        <v>21765.178295791298</v>
      </c>
      <c r="AD149" s="544">
        <f t="shared" ref="AD149:AD150" si="158">AC149/$E$6</f>
        <v>26.984009336370757</v>
      </c>
      <c r="AE149" s="544">
        <f t="shared" ref="AE149:AE150" si="159">AC149/($E$7/100)</f>
        <v>7.2392563971377655</v>
      </c>
      <c r="AH149" s="153"/>
      <c r="AI149" s="137">
        <f>AC149*AH149</f>
        <v>0</v>
      </c>
      <c r="AJ149" s="544">
        <f t="shared" ref="AJ149:AJ150" si="160">AI149/$E$6</f>
        <v>0</v>
      </c>
      <c r="AK149" s="544">
        <f t="shared" ref="AK149:AK150" si="161">AI149/($E$7/100)</f>
        <v>0</v>
      </c>
      <c r="AN149" s="153"/>
      <c r="AO149" s="137">
        <f>AI149*AN149</f>
        <v>0</v>
      </c>
      <c r="AP149" s="544">
        <f t="shared" ref="AP149:AP150" si="162">AO149/$E$6</f>
        <v>0</v>
      </c>
      <c r="AQ149" s="544">
        <f t="shared" ref="AQ149:AQ150" si="163">AO149/($E$7/100)</f>
        <v>0</v>
      </c>
    </row>
    <row r="150" spans="1:44" ht="15.75" hidden="1">
      <c r="B150" s="47"/>
      <c r="C150" s="48"/>
      <c r="D150" s="48"/>
      <c r="E150" s="49"/>
      <c r="F150" s="89" t="s">
        <v>69</v>
      </c>
      <c r="G150" s="120">
        <v>19299.119592096002</v>
      </c>
      <c r="H150" s="118"/>
      <c r="J150" s="196">
        <f t="shared" si="154"/>
        <v>25.22036764843952</v>
      </c>
      <c r="L150" s="121">
        <v>23.926641729259551</v>
      </c>
      <c r="M150" s="121">
        <v>6.4190273595518184</v>
      </c>
      <c r="N150" s="222">
        <f>G150/$N$6</f>
        <v>2.3185093642010251E-2</v>
      </c>
      <c r="P150" s="156"/>
      <c r="Q150" s="157">
        <f>SUM(Q149:Q149)</f>
        <v>20070.350765639159</v>
      </c>
      <c r="R150" s="559">
        <f>Q150/$E$6</f>
        <v>24.882797884038805</v>
      </c>
      <c r="S150" s="559">
        <f t="shared" si="155"/>
        <v>6.6755444498723682</v>
      </c>
      <c r="T150" s="156"/>
      <c r="V150" s="156"/>
      <c r="W150" s="157">
        <f>SUM(W149:W149)</f>
        <v>20342.63299093274</v>
      </c>
      <c r="X150" s="559">
        <f t="shared" si="156"/>
        <v>25.22036764843952</v>
      </c>
      <c r="Y150" s="559">
        <f t="shared" si="157"/>
        <v>6.7661074957843157</v>
      </c>
      <c r="Z150" s="156"/>
      <c r="AB150" s="156"/>
      <c r="AC150" s="157">
        <f>SUM(AC149:AC149)</f>
        <v>21765.178295791298</v>
      </c>
      <c r="AD150" s="559">
        <f t="shared" si="158"/>
        <v>26.984009336370757</v>
      </c>
      <c r="AE150" s="559">
        <f t="shared" si="159"/>
        <v>7.2392563971377655</v>
      </c>
      <c r="AF150" s="156"/>
      <c r="AH150" s="156"/>
      <c r="AI150" s="157">
        <f>SUM(AI149:AI149)</f>
        <v>0</v>
      </c>
      <c r="AJ150" s="559">
        <f t="shared" si="160"/>
        <v>0</v>
      </c>
      <c r="AK150" s="559">
        <f t="shared" si="161"/>
        <v>0</v>
      </c>
      <c r="AL150" s="156"/>
      <c r="AN150" s="156"/>
      <c r="AO150" s="157">
        <f>SUM(AO149:AO149)</f>
        <v>0</v>
      </c>
      <c r="AP150" s="559">
        <f t="shared" si="162"/>
        <v>0</v>
      </c>
      <c r="AQ150" s="559">
        <f t="shared" si="163"/>
        <v>0</v>
      </c>
      <c r="AR150" s="156"/>
    </row>
    <row r="151" spans="1:44" ht="15.75" hidden="1">
      <c r="B151" s="47"/>
      <c r="C151" s="49"/>
      <c r="D151" s="49"/>
      <c r="E151" s="49"/>
      <c r="F151" s="48"/>
      <c r="G151" s="122"/>
      <c r="H151" s="118"/>
      <c r="J151" s="197">
        <f t="shared" si="154"/>
        <v>0</v>
      </c>
      <c r="L151" s="123"/>
      <c r="M151" s="123">
        <v>0</v>
      </c>
      <c r="N151" s="148"/>
    </row>
    <row r="152" spans="1:44" ht="15" hidden="1">
      <c r="B152" s="50"/>
      <c r="C152" s="51" t="s">
        <v>207</v>
      </c>
      <c r="D152" s="51"/>
      <c r="E152" s="124"/>
      <c r="F152" s="124"/>
      <c r="G152" s="125" t="s">
        <v>67</v>
      </c>
      <c r="H152" s="118"/>
      <c r="J152" s="195">
        <f t="shared" ref="J152:J162" si="164">IF($D$2=$L$2,L152,IF($D$2=$M$2,M152,IF($D$2=$N$2,N152,IF($D$2=$R$2,R152,IF($D$2=$S$2,S152,IF($D$2=$T$2,T152,IF($D$2=$X$2,X152,IF($D$2=$Y$2,Y152,IF($D$2=$Z$2,Z152,IF($D$2=$AD$2,AD152,IF($D$2=$AE$2,AE152,IF($D$2=$AF$2,AF152,IF($D$2=$AJ$2,AJ152,IF($D$2=$AK$2,AK152,IF($D$2=$AL$2,AL152,IF($D$2=$AP$2,AP152,IF($D$2=$AQ$2,AQ152,IF($D$2=$AR$2,AR152))))))))))))))))))</f>
        <v>0</v>
      </c>
      <c r="L152" s="119"/>
      <c r="M152" s="119"/>
      <c r="N152" s="146"/>
    </row>
    <row r="153" spans="1:44" ht="15.75" hidden="1">
      <c r="B153" s="24"/>
      <c r="C153" s="569" t="s">
        <v>176</v>
      </c>
      <c r="D153" s="44">
        <v>81.978747774682091</v>
      </c>
      <c r="E153" s="64"/>
      <c r="F153" s="82">
        <v>185.54999999999998</v>
      </c>
      <c r="G153" s="73">
        <v>15211.15664959226</v>
      </c>
      <c r="H153" s="82"/>
      <c r="J153" s="186">
        <f t="shared" si="164"/>
        <v>17.858377875941869</v>
      </c>
      <c r="L153" s="74">
        <v>18.858471429520307</v>
      </c>
      <c r="M153" s="74">
        <v>5.0593411910950756</v>
      </c>
      <c r="N153" s="140"/>
      <c r="P153" s="158">
        <v>184.8</v>
      </c>
      <c r="Q153" s="137">
        <f t="shared" ref="Q153:Q158" si="165">$D153*P153</f>
        <v>15149.672588761252</v>
      </c>
      <c r="R153" s="544">
        <f t="shared" ref="R153:R161" si="166">Q153/$E$6</f>
        <v>18.782244786717076</v>
      </c>
      <c r="S153" s="544">
        <f t="shared" ref="S153:S162" si="167">Q153/($E$7/100)</f>
        <v>5.0388911458602541</v>
      </c>
      <c r="V153" s="158">
        <v>175.71</v>
      </c>
      <c r="W153" s="137">
        <f>$D153*V153</f>
        <v>14404.485771489391</v>
      </c>
      <c r="X153" s="544">
        <f t="shared" ref="X153:X162" si="168">W153/$E$6</f>
        <v>17.858377875941869</v>
      </c>
      <c r="Y153" s="544">
        <f t="shared" ref="Y153:Y162" si="169">W153/($E$7/100)</f>
        <v>4.7910365976142062</v>
      </c>
      <c r="AB153" s="158"/>
      <c r="AC153" s="137">
        <v>15939.18</v>
      </c>
      <c r="AD153" s="544">
        <f t="shared" ref="AD153:AD162" si="170">AC153/$E$6</f>
        <v>19.761059435808182</v>
      </c>
      <c r="AE153" s="544">
        <f t="shared" ref="AE153:AE162" si="171">AC153/($E$7/100)</f>
        <v>5.3014870455916601</v>
      </c>
      <c r="AH153" s="158"/>
      <c r="AI153" s="137">
        <f>$D153*AH153</f>
        <v>0</v>
      </c>
      <c r="AJ153" s="544">
        <f t="shared" ref="AJ153:AJ162" si="172">AI153/$E$6</f>
        <v>0</v>
      </c>
      <c r="AK153" s="544">
        <f t="shared" ref="AK153:AK162" si="173">AI153/($E$7/100)</f>
        <v>0</v>
      </c>
      <c r="AN153" s="158"/>
      <c r="AO153" s="137">
        <f>$D153*AN153</f>
        <v>0</v>
      </c>
      <c r="AP153" s="544">
        <f t="shared" ref="AP153:AP162" si="174">AO153/$E$6</f>
        <v>0</v>
      </c>
      <c r="AQ153" s="544">
        <f t="shared" ref="AQ153:AQ162" si="175">AO153/($E$7/100)</f>
        <v>0</v>
      </c>
    </row>
    <row r="154" spans="1:44" ht="15.75" hidden="1">
      <c r="B154" s="406"/>
      <c r="C154" s="569" t="s">
        <v>208</v>
      </c>
      <c r="D154" s="44">
        <v>86.218105876999985</v>
      </c>
      <c r="E154" s="64"/>
      <c r="F154" s="82">
        <v>360.32999999999993</v>
      </c>
      <c r="G154" s="73">
        <v>31066.970090659401</v>
      </c>
      <c r="H154" s="82"/>
      <c r="I154" s="57"/>
      <c r="J154" s="186">
        <f t="shared" si="164"/>
        <v>37.459018909870409</v>
      </c>
      <c r="K154" s="57"/>
      <c r="L154" s="74">
        <v>38.516174762565925</v>
      </c>
      <c r="M154" s="74">
        <v>10.333099913635104</v>
      </c>
      <c r="N154" s="140"/>
      <c r="P154" s="158">
        <v>373.36</v>
      </c>
      <c r="Q154" s="137">
        <f t="shared" si="165"/>
        <v>32190.392010236716</v>
      </c>
      <c r="R154" s="544">
        <f t="shared" si="166"/>
        <v>39.908969581637983</v>
      </c>
      <c r="S154" s="544">
        <f t="shared" si="167"/>
        <v>10.706758204298291</v>
      </c>
      <c r="V154" s="158">
        <v>350.44</v>
      </c>
      <c r="W154" s="137">
        <f t="shared" ref="W154:W158" si="176">$D154*V154</f>
        <v>30214.273023535876</v>
      </c>
      <c r="X154" s="544">
        <f t="shared" si="168"/>
        <v>37.459018909870409</v>
      </c>
      <c r="Y154" s="544">
        <f t="shared" si="169"/>
        <v>10.049486675365044</v>
      </c>
      <c r="AB154" s="158"/>
      <c r="AC154" s="137">
        <v>25303.26</v>
      </c>
      <c r="AD154" s="544">
        <f t="shared" si="170"/>
        <v>31.370448465962973</v>
      </c>
      <c r="AE154" s="544">
        <f t="shared" si="171"/>
        <v>8.4160480715593664</v>
      </c>
      <c r="AH154" s="158"/>
      <c r="AI154" s="137">
        <f t="shared" ref="AI154:AI158" si="177">$D154*AH154</f>
        <v>0</v>
      </c>
      <c r="AJ154" s="544">
        <f t="shared" si="172"/>
        <v>0</v>
      </c>
      <c r="AK154" s="544">
        <f t="shared" si="173"/>
        <v>0</v>
      </c>
      <c r="AN154" s="158"/>
      <c r="AO154" s="137">
        <f t="shared" ref="AO154:AO158" si="178">$D154*AN154</f>
        <v>0</v>
      </c>
      <c r="AP154" s="544">
        <f t="shared" si="174"/>
        <v>0</v>
      </c>
      <c r="AQ154" s="544">
        <f t="shared" si="175"/>
        <v>0</v>
      </c>
    </row>
    <row r="155" spans="1:44" ht="15.75" hidden="1">
      <c r="A155" s="21"/>
      <c r="B155" s="38"/>
      <c r="C155" s="569" t="s">
        <v>209</v>
      </c>
      <c r="D155" s="44">
        <v>4.2972453333333336</v>
      </c>
      <c r="E155" s="64"/>
      <c r="F155" s="82">
        <v>523.14000000000021</v>
      </c>
      <c r="G155" s="73">
        <v>2248.060923680001</v>
      </c>
      <c r="H155" s="82"/>
      <c r="I155" s="57"/>
      <c r="J155" s="186">
        <f t="shared" si="164"/>
        <v>2.5954102754750368</v>
      </c>
      <c r="K155" s="57"/>
      <c r="L155" s="74">
        <v>2.7870985538878625</v>
      </c>
      <c r="M155" s="74">
        <v>0.74772139248006153</v>
      </c>
      <c r="N155" s="140"/>
      <c r="P155" s="158">
        <v>524.33000000000004</v>
      </c>
      <c r="Q155" s="137">
        <f t="shared" si="165"/>
        <v>2253.1746456266669</v>
      </c>
      <c r="R155" s="544">
        <f t="shared" si="166"/>
        <v>2.7934384385824491</v>
      </c>
      <c r="S155" s="544">
        <f t="shared" si="167"/>
        <v>0.74942225354411918</v>
      </c>
      <c r="V155" s="158">
        <v>487.16</v>
      </c>
      <c r="W155" s="137">
        <f t="shared" si="176"/>
        <v>2093.4460365866671</v>
      </c>
      <c r="X155" s="544">
        <f t="shared" si="168"/>
        <v>2.5954102754750368</v>
      </c>
      <c r="Y155" s="544">
        <f t="shared" si="169"/>
        <v>0.69629535795501529</v>
      </c>
      <c r="AB155" s="158"/>
      <c r="AC155" s="137">
        <v>2237.06</v>
      </c>
      <c r="AD155" s="544">
        <f t="shared" si="170"/>
        <v>2.7734598405607471</v>
      </c>
      <c r="AE155" s="544">
        <f t="shared" si="171"/>
        <v>0.74406240535656654</v>
      </c>
      <c r="AH155" s="158"/>
      <c r="AI155" s="137">
        <f t="shared" si="177"/>
        <v>0</v>
      </c>
      <c r="AJ155" s="544">
        <f t="shared" si="172"/>
        <v>0</v>
      </c>
      <c r="AK155" s="544">
        <f t="shared" si="173"/>
        <v>0</v>
      </c>
      <c r="AN155" s="158"/>
      <c r="AO155" s="137">
        <f t="shared" si="178"/>
        <v>0</v>
      </c>
      <c r="AP155" s="544">
        <f t="shared" si="174"/>
        <v>0</v>
      </c>
      <c r="AQ155" s="544">
        <f t="shared" si="175"/>
        <v>0</v>
      </c>
    </row>
    <row r="156" spans="1:44" ht="15.75" hidden="1">
      <c r="A156" s="21"/>
      <c r="B156" s="38"/>
      <c r="C156" s="569" t="s">
        <v>306</v>
      </c>
      <c r="D156" s="44">
        <v>28.129139642868974</v>
      </c>
      <c r="E156" s="64"/>
      <c r="F156" s="82">
        <v>282.79999999999995</v>
      </c>
      <c r="G156" s="73">
        <v>7954.9206910033454</v>
      </c>
      <c r="H156" s="82"/>
      <c r="I156" s="57"/>
      <c r="J156" s="186">
        <f t="shared" si="164"/>
        <v>9.1819529460748051</v>
      </c>
      <c r="K156" s="57"/>
      <c r="L156" s="74">
        <v>9.8623430177749043</v>
      </c>
      <c r="M156" s="74">
        <v>2.6458644040699264</v>
      </c>
      <c r="N156" s="140"/>
      <c r="P156" s="158">
        <v>291.52</v>
      </c>
      <c r="Q156" s="137">
        <f t="shared" si="165"/>
        <v>8200.2067886891637</v>
      </c>
      <c r="R156" s="544">
        <f t="shared" si="166"/>
        <v>10.166443552127795</v>
      </c>
      <c r="S156" s="544">
        <f t="shared" si="167"/>
        <v>2.727448341847472</v>
      </c>
      <c r="V156" s="158">
        <v>263.29000000000002</v>
      </c>
      <c r="W156" s="137">
        <f t="shared" si="176"/>
        <v>7406.1211765709731</v>
      </c>
      <c r="X156" s="544">
        <f t="shared" si="168"/>
        <v>9.1819529460748051</v>
      </c>
      <c r="Y156" s="544">
        <f t="shared" si="169"/>
        <v>2.4633296992488369</v>
      </c>
      <c r="AB156" s="158"/>
      <c r="AC156" s="137">
        <v>8854.4500000000007</v>
      </c>
      <c r="AD156" s="544">
        <f t="shared" si="170"/>
        <v>10.977560496925925</v>
      </c>
      <c r="AE156" s="544">
        <f t="shared" si="171"/>
        <v>2.9450543861628438</v>
      </c>
      <c r="AH156" s="158"/>
      <c r="AI156" s="137">
        <f t="shared" si="177"/>
        <v>0</v>
      </c>
      <c r="AJ156" s="544">
        <f t="shared" si="172"/>
        <v>0</v>
      </c>
      <c r="AK156" s="544">
        <f t="shared" si="173"/>
        <v>0</v>
      </c>
      <c r="AN156" s="158"/>
      <c r="AO156" s="137">
        <f t="shared" si="178"/>
        <v>0</v>
      </c>
      <c r="AP156" s="544">
        <f t="shared" si="174"/>
        <v>0</v>
      </c>
      <c r="AQ156" s="544">
        <f t="shared" si="175"/>
        <v>0</v>
      </c>
    </row>
    <row r="157" spans="1:44" ht="15.75" hidden="1">
      <c r="A157" s="21"/>
      <c r="B157" s="38"/>
      <c r="C157" s="569" t="s">
        <v>211</v>
      </c>
      <c r="D157" s="44">
        <v>5.3856070055162784</v>
      </c>
      <c r="E157" s="64"/>
      <c r="F157" s="82">
        <v>256.52999999999997</v>
      </c>
      <c r="G157" s="73">
        <v>1381.5697651250907</v>
      </c>
      <c r="H157" s="82"/>
      <c r="I157" s="57"/>
      <c r="J157" s="186">
        <f t="shared" si="164"/>
        <v>1.6760510164020115</v>
      </c>
      <c r="K157" s="57"/>
      <c r="L157" s="74">
        <v>1.7128410773548242</v>
      </c>
      <c r="M157" s="74">
        <v>0.4595201392036341</v>
      </c>
      <c r="N157" s="140"/>
      <c r="P157" s="158">
        <v>269.47000000000003</v>
      </c>
      <c r="Q157" s="137">
        <f t="shared" si="165"/>
        <v>1451.2595197764717</v>
      </c>
      <c r="R157" s="544">
        <f t="shared" si="166"/>
        <v>1.7992409664164215</v>
      </c>
      <c r="S157" s="544">
        <f t="shared" si="167"/>
        <v>0.4826994578068971</v>
      </c>
      <c r="V157" s="158">
        <v>251.02</v>
      </c>
      <c r="W157" s="137">
        <f t="shared" si="176"/>
        <v>1351.8950705246962</v>
      </c>
      <c r="X157" s="544">
        <f t="shared" si="168"/>
        <v>1.6760510164020115</v>
      </c>
      <c r="Y157" s="544">
        <f t="shared" si="169"/>
        <v>0.44965012023114742</v>
      </c>
      <c r="AB157" s="158"/>
      <c r="AC157" s="137">
        <v>1533.77</v>
      </c>
      <c r="AD157" s="544">
        <f t="shared" si="170"/>
        <v>1.9015357208375534</v>
      </c>
      <c r="AE157" s="544">
        <f t="shared" si="171"/>
        <v>0.51014304286149725</v>
      </c>
      <c r="AH157" s="158"/>
      <c r="AI157" s="137">
        <f t="shared" si="177"/>
        <v>0</v>
      </c>
      <c r="AJ157" s="544">
        <f t="shared" si="172"/>
        <v>0</v>
      </c>
      <c r="AK157" s="544">
        <f t="shared" si="173"/>
        <v>0</v>
      </c>
      <c r="AN157" s="158"/>
      <c r="AO157" s="137">
        <f t="shared" si="178"/>
        <v>0</v>
      </c>
      <c r="AP157" s="544">
        <f t="shared" si="174"/>
        <v>0</v>
      </c>
      <c r="AQ157" s="544">
        <f t="shared" si="175"/>
        <v>0</v>
      </c>
    </row>
    <row r="158" spans="1:44" ht="15.75" hidden="1">
      <c r="A158" s="21"/>
      <c r="B158" s="38"/>
      <c r="C158" s="569" t="s">
        <v>212</v>
      </c>
      <c r="D158" s="44">
        <v>0.43736142857142862</v>
      </c>
      <c r="E158" s="64"/>
      <c r="F158" s="82">
        <v>303.95000000000005</v>
      </c>
      <c r="G158" s="73">
        <v>132.93600621428575</v>
      </c>
      <c r="H158" s="82"/>
      <c r="I158" s="57"/>
      <c r="J158" s="186">
        <f t="shared" si="164"/>
        <v>0.1507674634247044</v>
      </c>
      <c r="K158" s="57"/>
      <c r="L158" s="74">
        <v>0.164811258794961</v>
      </c>
      <c r="M158" s="74">
        <v>4.4215481275556731E-2</v>
      </c>
      <c r="N158" s="140"/>
      <c r="P158" s="158">
        <v>301.52</v>
      </c>
      <c r="Q158" s="137">
        <f t="shared" si="165"/>
        <v>131.87321794285714</v>
      </c>
      <c r="R158" s="544">
        <f t="shared" si="166"/>
        <v>0.16349363629497163</v>
      </c>
      <c r="S158" s="544">
        <f t="shared" si="167"/>
        <v>4.386199017669308E-2</v>
      </c>
      <c r="V158" s="158">
        <v>278.05</v>
      </c>
      <c r="W158" s="137">
        <f t="shared" si="176"/>
        <v>121.60834521428573</v>
      </c>
      <c r="X158" s="544">
        <f t="shared" si="168"/>
        <v>0.1507674634247044</v>
      </c>
      <c r="Y158" s="544">
        <f t="shared" si="169"/>
        <v>4.0447818946104781E-2</v>
      </c>
      <c r="AB158" s="158"/>
      <c r="AC158" s="137">
        <v>134.38999999999999</v>
      </c>
      <c r="AD158" s="544">
        <f t="shared" si="170"/>
        <v>0.16661388964666068</v>
      </c>
      <c r="AE158" s="544">
        <f t="shared" si="171"/>
        <v>4.4699090170075444E-2</v>
      </c>
      <c r="AH158" s="158"/>
      <c r="AI158" s="137">
        <f t="shared" si="177"/>
        <v>0</v>
      </c>
      <c r="AJ158" s="544">
        <f t="shared" si="172"/>
        <v>0</v>
      </c>
      <c r="AK158" s="544">
        <f t="shared" si="173"/>
        <v>0</v>
      </c>
      <c r="AN158" s="158"/>
      <c r="AO158" s="137">
        <f t="shared" si="178"/>
        <v>0</v>
      </c>
      <c r="AP158" s="544">
        <f t="shared" si="174"/>
        <v>0</v>
      </c>
      <c r="AQ158" s="544">
        <f t="shared" si="175"/>
        <v>0</v>
      </c>
    </row>
    <row r="159" spans="1:44" ht="15.75" hidden="1">
      <c r="A159" s="21"/>
      <c r="B159" s="38"/>
      <c r="C159" s="569" t="s">
        <v>213</v>
      </c>
      <c r="D159" s="44">
        <v>14.779765190476194</v>
      </c>
      <c r="E159" s="64"/>
      <c r="F159" s="82">
        <v>135.67877301755252</v>
      </c>
      <c r="G159" s="73">
        <v>2005.3004065313432</v>
      </c>
      <c r="H159" s="82"/>
      <c r="I159" s="57"/>
      <c r="J159" s="186">
        <f t="shared" si="164"/>
        <v>3.0605340275448762</v>
      </c>
      <c r="K159" s="57"/>
      <c r="L159" s="74">
        <v>2.4861291810567532</v>
      </c>
      <c r="M159" s="74">
        <v>0.66697748113426192</v>
      </c>
      <c r="N159" s="140"/>
      <c r="P159" s="153">
        <f>219.38/198.88</f>
        <v>1.1030772325020113</v>
      </c>
      <c r="Q159" s="137">
        <f>G159*P159</f>
        <v>2212.0012227717521</v>
      </c>
      <c r="R159" s="544">
        <f t="shared" si="166"/>
        <v>2.7423924966825748</v>
      </c>
      <c r="S159" s="544">
        <f t="shared" si="167"/>
        <v>0.73572767403074402</v>
      </c>
      <c r="V159" s="153">
        <f>244.83/198.88</f>
        <v>1.2310438455349961</v>
      </c>
      <c r="W159" s="137">
        <f>G159*V159</f>
        <v>2468.6127239092357</v>
      </c>
      <c r="X159" s="544">
        <f t="shared" si="168"/>
        <v>3.0605340275448762</v>
      </c>
      <c r="Y159" s="544">
        <f t="shared" si="169"/>
        <v>0.82107852326076713</v>
      </c>
      <c r="AB159" s="153">
        <f>229.16/244.83</f>
        <v>0.93599640566923981</v>
      </c>
      <c r="AC159" s="137">
        <f t="shared" ref="AC159:AC161" si="179">W159*AB159</f>
        <v>2310.6126365683958</v>
      </c>
      <c r="AD159" s="544">
        <f t="shared" si="170"/>
        <v>2.8646488492104059</v>
      </c>
      <c r="AE159" s="544">
        <f t="shared" si="171"/>
        <v>0.76852654654428521</v>
      </c>
      <c r="AH159" s="153"/>
      <c r="AI159" s="137">
        <f t="shared" ref="AI159:AI161" si="180">AC159*AH159</f>
        <v>0</v>
      </c>
      <c r="AJ159" s="544">
        <f t="shared" si="172"/>
        <v>0</v>
      </c>
      <c r="AK159" s="544">
        <f t="shared" si="173"/>
        <v>0</v>
      </c>
      <c r="AN159" s="153"/>
      <c r="AO159" s="137">
        <f t="shared" ref="AO159:AO161" si="181">AI159*AN159</f>
        <v>0</v>
      </c>
      <c r="AP159" s="544">
        <f t="shared" si="174"/>
        <v>0</v>
      </c>
      <c r="AQ159" s="544">
        <f t="shared" si="175"/>
        <v>0</v>
      </c>
    </row>
    <row r="160" spans="1:44" ht="15.75" hidden="1">
      <c r="A160" s="21"/>
      <c r="B160" s="38"/>
      <c r="C160" s="569" t="s">
        <v>214</v>
      </c>
      <c r="D160" s="44">
        <v>6.0735700887364024</v>
      </c>
      <c r="E160" s="64"/>
      <c r="F160" s="82">
        <v>128.05397030473983</v>
      </c>
      <c r="G160" s="73">
        <v>777.74476378680743</v>
      </c>
      <c r="H160" s="82"/>
      <c r="I160" s="57"/>
      <c r="J160" s="186">
        <f t="shared" si="164"/>
        <v>1.3625497734191694</v>
      </c>
      <c r="K160" s="57"/>
      <c r="L160" s="74">
        <v>0.9642315666853436</v>
      </c>
      <c r="M160" s="74">
        <v>0.25868355774842278</v>
      </c>
      <c r="N160" s="140"/>
      <c r="P160" s="153">
        <f>192.54/163.74</f>
        <v>1.1758886038842065</v>
      </c>
      <c r="Q160" s="137">
        <f>G160*P160</f>
        <v>914.54120446752097</v>
      </c>
      <c r="R160" s="544">
        <f t="shared" si="166"/>
        <v>1.13382891077071</v>
      </c>
      <c r="S160" s="544">
        <f t="shared" si="167"/>
        <v>0.30418304756859238</v>
      </c>
      <c r="V160" s="153">
        <f>231.38/163.74</f>
        <v>1.4130939294002687</v>
      </c>
      <c r="W160" s="137">
        <f>G160*V160</f>
        <v>1099.0264043299835</v>
      </c>
      <c r="X160" s="544">
        <f t="shared" si="168"/>
        <v>1.3625497734191694</v>
      </c>
      <c r="Y160" s="544">
        <f t="shared" si="169"/>
        <v>0.36554416508996007</v>
      </c>
      <c r="AB160" s="153">
        <f>213.46/231.38</f>
        <v>0.92255164664188782</v>
      </c>
      <c r="AC160" s="137">
        <f t="shared" si="179"/>
        <v>1013.9086190175394</v>
      </c>
      <c r="AD160" s="544">
        <f t="shared" si="170"/>
        <v>1.2570225370993859</v>
      </c>
      <c r="AE160" s="544">
        <f t="shared" si="171"/>
        <v>0.33723337142407672</v>
      </c>
      <c r="AH160" s="153"/>
      <c r="AI160" s="137">
        <f t="shared" si="180"/>
        <v>0</v>
      </c>
      <c r="AJ160" s="544">
        <f t="shared" si="172"/>
        <v>0</v>
      </c>
      <c r="AK160" s="544">
        <f t="shared" si="173"/>
        <v>0</v>
      </c>
      <c r="AN160" s="153"/>
      <c r="AO160" s="137">
        <f t="shared" si="181"/>
        <v>0</v>
      </c>
      <c r="AP160" s="544">
        <f t="shared" si="174"/>
        <v>0</v>
      </c>
      <c r="AQ160" s="544">
        <f t="shared" si="175"/>
        <v>0</v>
      </c>
    </row>
    <row r="161" spans="1:44" ht="15.75" hidden="1">
      <c r="A161" s="21"/>
      <c r="B161" s="38"/>
      <c r="C161" s="569" t="s">
        <v>215</v>
      </c>
      <c r="D161" s="44"/>
      <c r="E161" s="64"/>
      <c r="F161" s="82"/>
      <c r="G161" s="73">
        <v>3587.4905470983067</v>
      </c>
      <c r="H161" s="82"/>
      <c r="I161" s="57"/>
      <c r="J161" s="186">
        <f t="shared" si="164"/>
        <v>5.0134658888234931</v>
      </c>
      <c r="K161" s="57"/>
      <c r="L161" s="74">
        <v>4.4476951716844688</v>
      </c>
      <c r="M161" s="74">
        <v>1.1932254144582224</v>
      </c>
      <c r="N161" s="140"/>
      <c r="P161" s="153">
        <f>244.79/215.95</f>
        <v>1.1335494327390601</v>
      </c>
      <c r="Q161" s="137">
        <f>G161*P161</f>
        <v>4066.5978746200258</v>
      </c>
      <c r="R161" s="544">
        <f t="shared" si="166"/>
        <v>5.0416823388591858</v>
      </c>
      <c r="S161" s="544">
        <f t="shared" si="167"/>
        <v>1.3525799916889478</v>
      </c>
      <c r="V161" s="154">
        <f>243.42/215.95</f>
        <v>1.1272053716137995</v>
      </c>
      <c r="W161" s="137">
        <f>G161*V161</f>
        <v>4043.8386153029396</v>
      </c>
      <c r="X161" s="544">
        <f t="shared" si="168"/>
        <v>5.0134658888234931</v>
      </c>
      <c r="Y161" s="544">
        <f t="shared" si="169"/>
        <v>1.3450100967234104</v>
      </c>
      <c r="AB161" s="154">
        <f>312.9/243.42</f>
        <v>1.2854325856544244</v>
      </c>
      <c r="AC161" s="137">
        <f t="shared" si="179"/>
        <v>5198.081927238065</v>
      </c>
      <c r="AD161" s="544">
        <f t="shared" si="170"/>
        <v>6.4444724205606398</v>
      </c>
      <c r="AE161" s="544">
        <f t="shared" si="171"/>
        <v>1.7289198063624811</v>
      </c>
      <c r="AI161" s="137">
        <f t="shared" si="180"/>
        <v>0</v>
      </c>
      <c r="AJ161" s="544">
        <f t="shared" si="172"/>
        <v>0</v>
      </c>
      <c r="AK161" s="544">
        <f t="shared" si="173"/>
        <v>0</v>
      </c>
      <c r="AO161" s="137">
        <f t="shared" si="181"/>
        <v>0</v>
      </c>
      <c r="AP161" s="544">
        <f t="shared" si="174"/>
        <v>0</v>
      </c>
      <c r="AQ161" s="544">
        <f t="shared" si="175"/>
        <v>0</v>
      </c>
    </row>
    <row r="162" spans="1:44" ht="15.75" hidden="1">
      <c r="B162" s="38"/>
      <c r="C162" s="52"/>
      <c r="D162" s="52"/>
      <c r="E162" s="82"/>
      <c r="F162" s="89" t="s">
        <v>69</v>
      </c>
      <c r="G162" s="120">
        <v>64366.149843690844</v>
      </c>
      <c r="H162" s="118"/>
      <c r="J162" s="196">
        <f t="shared" si="164"/>
        <v>78.358128176976379</v>
      </c>
      <c r="L162" s="121">
        <v>79.799796019325356</v>
      </c>
      <c r="M162" s="121">
        <v>21.408648975100263</v>
      </c>
      <c r="N162" s="147"/>
      <c r="P162" s="156"/>
      <c r="Q162" s="157">
        <f>SUM(Q153:Q161)</f>
        <v>66569.719072892418</v>
      </c>
      <c r="R162" s="559">
        <f>Q162/$E$6</f>
        <v>82.531734708089161</v>
      </c>
      <c r="S162" s="559">
        <f t="shared" si="167"/>
        <v>22.141572106822007</v>
      </c>
      <c r="T162" s="156"/>
      <c r="V162" s="156"/>
      <c r="W162" s="157">
        <f>SUM(W153:W161)</f>
        <v>63203.307167464052</v>
      </c>
      <c r="X162" s="559">
        <f t="shared" si="168"/>
        <v>78.358128176976379</v>
      </c>
      <c r="Y162" s="559">
        <f t="shared" si="169"/>
        <v>21.021879054434493</v>
      </c>
      <c r="Z162" s="156"/>
      <c r="AB162" s="156"/>
      <c r="AC162" s="157">
        <f>SUM(AC153:AC161)</f>
        <v>62524.713182823994</v>
      </c>
      <c r="AD162" s="559">
        <f t="shared" si="170"/>
        <v>77.516821656612464</v>
      </c>
      <c r="AE162" s="559">
        <f t="shared" si="171"/>
        <v>20.796173766032851</v>
      </c>
      <c r="AF162" s="156"/>
      <c r="AH162" s="156"/>
      <c r="AI162" s="157">
        <f>SUM(AI153:AI161)</f>
        <v>0</v>
      </c>
      <c r="AJ162" s="559">
        <f t="shared" si="172"/>
        <v>0</v>
      </c>
      <c r="AK162" s="559">
        <f t="shared" si="173"/>
        <v>0</v>
      </c>
      <c r="AL162" s="156"/>
      <c r="AN162" s="156"/>
      <c r="AO162" s="157">
        <f>SUM(AO153:AO161)</f>
        <v>0</v>
      </c>
      <c r="AP162" s="559">
        <f t="shared" si="174"/>
        <v>0</v>
      </c>
      <c r="AQ162" s="559">
        <f t="shared" si="175"/>
        <v>0</v>
      </c>
      <c r="AR162" s="156"/>
    </row>
    <row r="163" spans="1:44" ht="15.75" hidden="1">
      <c r="B163" s="47"/>
      <c r="C163" s="49"/>
      <c r="D163" s="49"/>
      <c r="E163" s="49"/>
      <c r="F163" s="48"/>
      <c r="G163" s="122"/>
      <c r="H163" s="118"/>
      <c r="J163" s="197">
        <f t="shared" ref="J163" si="182">IF($D$2=$L$2,L163,IF($D$2=$M$2,M163,IF($D$2=$N$2,N163,IF($D$2=$R$2,R163,IF($D$2=$S$2,S163,IF($D$2=$T$2,T163,IF($D$2=$X$2,X163,IF($D$2=$Y$2,Y163,IF($D$2=$Z$2,Z163,IF($D$2=$AD$2,AD163,IF($D$2=$AE$2,AE163,IF($D$2=$AF$2,AF163,IF($D$2=$AJ$2,AJ163,IF($D$2=$AK$2,AK163,IF($D$2=$AL$2,AL163,IF($D$2=$AP$2,AP163,IF($D$2=$AQ$2,AQ163,IF($D$2=$AR$2,AR163))))))))))))))))))</f>
        <v>0</v>
      </c>
      <c r="L163" s="123"/>
      <c r="M163" s="123">
        <v>0</v>
      </c>
      <c r="N163" s="148"/>
    </row>
    <row r="164" spans="1:44" ht="15" hidden="1">
      <c r="B164" s="50"/>
      <c r="C164" s="51" t="s">
        <v>217</v>
      </c>
      <c r="D164" s="51"/>
      <c r="E164" s="124"/>
      <c r="F164" s="124"/>
      <c r="G164" s="125" t="s">
        <v>67</v>
      </c>
      <c r="H164" s="118"/>
      <c r="J164" s="195">
        <f t="shared" ref="J164:J166" si="183">IF($D$2=$L$2,L164,IF($D$2=$M$2,M164,IF($D$2=$N$2,N164,IF($D$2=$R$2,R164,IF($D$2=$S$2,S164,IF($D$2=$T$2,T164,IF($D$2=$X$2,X164,IF($D$2=$Y$2,Y164,IF($D$2=$Z$2,Z164,IF($D$2=$AD$2,AD164,IF($D$2=$AE$2,AE164,IF($D$2=$AF$2,AF164,IF($D$2=$AJ$2,AJ164,IF($D$2=$AK$2,AK164,IF($D$2=$AL$2,AL164,IF($D$2=$AP$2,AP164,IF($D$2=$AQ$2,AQ164,IF($D$2=$AR$2,AR164))))))))))))))))))</f>
        <v>0</v>
      </c>
      <c r="L164" s="119"/>
      <c r="M164" s="119"/>
      <c r="N164" s="146"/>
    </row>
    <row r="165" spans="1:44" ht="15.75" hidden="1">
      <c r="A165" s="21"/>
      <c r="B165" s="38"/>
      <c r="C165" s="44" t="s">
        <v>218</v>
      </c>
      <c r="D165" s="44">
        <v>0.8093697273429763</v>
      </c>
      <c r="E165" s="64"/>
      <c r="F165" s="82">
        <v>83.649999999999977</v>
      </c>
      <c r="G165" s="73">
        <v>67.703777692239953</v>
      </c>
      <c r="H165" s="82"/>
      <c r="I165" s="57"/>
      <c r="J165" s="186">
        <f t="shared" si="183"/>
        <v>0</v>
      </c>
      <c r="K165" s="57"/>
      <c r="L165" s="74">
        <v>8.3937716683361238E-2</v>
      </c>
      <c r="M165" s="74">
        <v>2.251876824109068E-2</v>
      </c>
      <c r="N165" s="140"/>
      <c r="P165" s="158">
        <v>76.760000000000005</v>
      </c>
      <c r="Q165" s="137">
        <f>$D165*P165</f>
        <v>62.127220270846863</v>
      </c>
      <c r="R165" s="544">
        <f t="shared" ref="R165" si="184">Q165/$E$6</f>
        <v>7.7024018321755053E-2</v>
      </c>
      <c r="S165" s="544">
        <f>Q165/($E$7/100)</f>
        <v>2.0663964736235756E-2</v>
      </c>
      <c r="V165" s="158"/>
      <c r="W165" s="137">
        <f t="shared" ref="W165" si="185">$D165*V165</f>
        <v>0</v>
      </c>
      <c r="X165" s="544">
        <f>W165/$E$6</f>
        <v>0</v>
      </c>
      <c r="Y165" s="544">
        <f>W165/($E$7/100)</f>
        <v>0</v>
      </c>
      <c r="AB165" s="158"/>
      <c r="AC165" s="137">
        <f t="shared" ref="AC165" si="186">$D165*AB165</f>
        <v>0</v>
      </c>
      <c r="AD165" s="544">
        <f>AC165/$E$6</f>
        <v>0</v>
      </c>
      <c r="AE165" s="544">
        <f>AC165/($E$7/100)</f>
        <v>0</v>
      </c>
      <c r="AH165" s="158"/>
      <c r="AI165" s="137">
        <f t="shared" ref="AI165" si="187">$D165*AH165</f>
        <v>0</v>
      </c>
      <c r="AJ165" s="544">
        <f>AI165/$E$6</f>
        <v>0</v>
      </c>
      <c r="AK165" s="544">
        <f>AI165/($E$7/100)</f>
        <v>0</v>
      </c>
      <c r="AN165" s="158"/>
      <c r="AO165" s="137">
        <f t="shared" ref="AO165" si="188">$D165*AN165</f>
        <v>0</v>
      </c>
      <c r="AP165" s="544">
        <f>AO165/$E$6</f>
        <v>0</v>
      </c>
      <c r="AQ165" s="544">
        <f>AO165/($E$7/100)</f>
        <v>0</v>
      </c>
    </row>
    <row r="166" spans="1:44" ht="15.75" hidden="1">
      <c r="B166" s="38"/>
      <c r="C166" s="52"/>
      <c r="D166" s="52"/>
      <c r="E166" s="82"/>
      <c r="F166" s="89" t="s">
        <v>69</v>
      </c>
      <c r="G166" s="120">
        <v>67.703777692239953</v>
      </c>
      <c r="H166" s="118"/>
      <c r="J166" s="196">
        <f t="shared" si="183"/>
        <v>0</v>
      </c>
      <c r="L166" s="121">
        <v>8.3937716683361238E-2</v>
      </c>
      <c r="M166" s="121">
        <v>2.251876824109068E-2</v>
      </c>
      <c r="N166" s="147"/>
      <c r="P166" s="156"/>
      <c r="Q166" s="157">
        <f>SUM(Q165:Q165)</f>
        <v>62.127220270846863</v>
      </c>
      <c r="R166" s="559">
        <f>Q166/$E$6</f>
        <v>7.7024018321755053E-2</v>
      </c>
      <c r="S166" s="559">
        <f>Q166/($E$7/100)</f>
        <v>2.0663964736235756E-2</v>
      </c>
      <c r="T166" s="156"/>
      <c r="V166" s="156"/>
      <c r="W166" s="157">
        <f>SUM(W165:W165)</f>
        <v>0</v>
      </c>
      <c r="X166" s="559">
        <f>W166/$E$6</f>
        <v>0</v>
      </c>
      <c r="Y166" s="559">
        <f>W166/($E$7/100)</f>
        <v>0</v>
      </c>
      <c r="Z166" s="156"/>
      <c r="AB166" s="156"/>
      <c r="AC166" s="157">
        <f>SUM(AC165:AC165)</f>
        <v>0</v>
      </c>
      <c r="AD166" s="559">
        <f>AC166/$E$6</f>
        <v>0</v>
      </c>
      <c r="AE166" s="559">
        <f>AC166/($E$7/100)</f>
        <v>0</v>
      </c>
      <c r="AF166" s="156"/>
      <c r="AH166" s="156"/>
      <c r="AI166" s="157">
        <f>SUM(AI165:AI165)</f>
        <v>0</v>
      </c>
      <c r="AJ166" s="559">
        <f>AI166/$E$6</f>
        <v>0</v>
      </c>
      <c r="AK166" s="559">
        <f>AI166/($E$7/100)</f>
        <v>0</v>
      </c>
      <c r="AL166" s="156"/>
      <c r="AN166" s="156"/>
      <c r="AO166" s="157">
        <f>SUM(AO165:AO165)</f>
        <v>0</v>
      </c>
      <c r="AP166" s="559">
        <f>AO166/$E$6</f>
        <v>0</v>
      </c>
      <c r="AQ166" s="559">
        <f>AO166/($E$7/100)</f>
        <v>0</v>
      </c>
      <c r="AR166" s="156"/>
    </row>
    <row r="167" spans="1:44" ht="15.75" hidden="1">
      <c r="B167" s="38"/>
      <c r="C167" s="52"/>
      <c r="D167" s="52"/>
      <c r="E167" s="82"/>
      <c r="F167" s="89"/>
      <c r="G167" s="120"/>
      <c r="H167" s="118"/>
      <c r="J167" s="196"/>
      <c r="L167" s="121"/>
      <c r="M167" s="121"/>
      <c r="N167" s="147"/>
    </row>
    <row r="168" spans="1:44" ht="15.75" hidden="1">
      <c r="B168" s="53"/>
      <c r="C168" s="51" t="s">
        <v>15</v>
      </c>
      <c r="D168" s="51"/>
      <c r="E168" s="126"/>
      <c r="F168" s="127"/>
      <c r="G168" s="128"/>
      <c r="H168" s="82"/>
      <c r="J168" s="198">
        <f t="shared" si="154"/>
        <v>0</v>
      </c>
      <c r="L168" s="129"/>
      <c r="M168" s="129"/>
      <c r="N168" s="149"/>
    </row>
    <row r="169" spans="1:44" ht="15.75" hidden="1">
      <c r="B169" s="54"/>
      <c r="C169" s="569" t="s">
        <v>219</v>
      </c>
      <c r="D169" s="25"/>
      <c r="E169" s="64"/>
      <c r="F169" s="82"/>
      <c r="G169" s="73">
        <v>4177.4571943259616</v>
      </c>
      <c r="H169" s="82"/>
      <c r="J169" s="186">
        <f t="shared" si="154"/>
        <v>5.1791233870010762</v>
      </c>
      <c r="L169" s="74">
        <v>5.1791233870010762</v>
      </c>
      <c r="M169" s="74">
        <v>1.3894526066731643</v>
      </c>
      <c r="N169" s="221">
        <f>G169/$N$6</f>
        <v>5.0186090496897031E-3</v>
      </c>
      <c r="Q169" s="137">
        <f>$G169</f>
        <v>4177.4571943259616</v>
      </c>
      <c r="R169" s="544">
        <f>Q169/$E$6</f>
        <v>5.1791233870010762</v>
      </c>
      <c r="S169" s="544">
        <f t="shared" ref="S169:S176" si="189">Q169/($E$7/100)</f>
        <v>1.3894526066731643</v>
      </c>
      <c r="W169" s="137">
        <f>$G169</f>
        <v>4177.4571943259616</v>
      </c>
      <c r="X169" s="544">
        <f t="shared" ref="X169:X176" si="190">W169/$E$6</f>
        <v>5.1791233870010762</v>
      </c>
      <c r="Y169" s="544">
        <f t="shared" ref="Y169:Y176" si="191">W169/($E$7/100)</f>
        <v>1.3894526066731643</v>
      </c>
      <c r="AC169" s="137">
        <f>$G169</f>
        <v>4177.4571943259616</v>
      </c>
      <c r="AD169" s="544">
        <f t="shared" ref="AD169:AD176" si="192">AC169/$E$6</f>
        <v>5.1791233870010762</v>
      </c>
      <c r="AE169" s="544">
        <f t="shared" ref="AE169:AE176" si="193">AC169/($E$7/100)</f>
        <v>1.3894526066731643</v>
      </c>
      <c r="AI169" s="137">
        <f>$G169</f>
        <v>4177.4571943259616</v>
      </c>
      <c r="AJ169" s="544">
        <f t="shared" ref="AJ169:AJ176" si="194">AI169/$E$6</f>
        <v>5.1791233870010762</v>
      </c>
      <c r="AK169" s="544">
        <f t="shared" ref="AK169:AK176" si="195">AI169/($E$7/100)</f>
        <v>1.3894526066731643</v>
      </c>
      <c r="AO169" s="137">
        <f>$G169</f>
        <v>4177.4571943259616</v>
      </c>
      <c r="AP169" s="544">
        <f t="shared" ref="AP169:AP176" si="196">AO169/$E$6</f>
        <v>5.1791233870010762</v>
      </c>
      <c r="AQ169" s="544">
        <f t="shared" ref="AQ169:AQ176" si="197">AO169/($E$7/100)</f>
        <v>1.3894526066731643</v>
      </c>
    </row>
    <row r="170" spans="1:44" ht="15.75" hidden="1">
      <c r="B170" s="38"/>
      <c r="C170" s="569" t="s">
        <v>220</v>
      </c>
      <c r="D170" s="25"/>
      <c r="E170" s="87"/>
      <c r="F170" s="87"/>
      <c r="G170" s="73">
        <v>432.62610833331729</v>
      </c>
      <c r="H170" s="82"/>
      <c r="I170" s="57"/>
      <c r="J170" s="186">
        <f t="shared" si="154"/>
        <v>0.53636073124571482</v>
      </c>
      <c r="K170" s="57"/>
      <c r="L170" s="74">
        <v>0.53636073124571482</v>
      </c>
      <c r="M170" s="74">
        <v>0.14389458610253575</v>
      </c>
      <c r="N170" s="221">
        <f t="shared" ref="N170:N175" si="198">G170/$N$6</f>
        <v>5.197375344414383E-4</v>
      </c>
      <c r="Q170" s="137">
        <f>$G170</f>
        <v>432.62610833331729</v>
      </c>
      <c r="R170" s="544">
        <f>Q170/$E$6</f>
        <v>0.53636073124571482</v>
      </c>
      <c r="S170" s="544">
        <f t="shared" si="189"/>
        <v>0.14389458610253575</v>
      </c>
      <c r="W170" s="137">
        <f>$G170</f>
        <v>432.62610833331729</v>
      </c>
      <c r="X170" s="544">
        <f t="shared" si="190"/>
        <v>0.53636073124571482</v>
      </c>
      <c r="Y170" s="544">
        <f t="shared" si="191"/>
        <v>0.14389458610253575</v>
      </c>
      <c r="AC170" s="137">
        <f>$G170</f>
        <v>432.62610833331729</v>
      </c>
      <c r="AD170" s="544">
        <f t="shared" si="192"/>
        <v>0.53636073124571482</v>
      </c>
      <c r="AE170" s="544">
        <f t="shared" si="193"/>
        <v>0.14389458610253575</v>
      </c>
      <c r="AI170" s="137">
        <f>$G170</f>
        <v>432.62610833331729</v>
      </c>
      <c r="AJ170" s="544">
        <f t="shared" si="194"/>
        <v>0.53636073124571482</v>
      </c>
      <c r="AK170" s="544">
        <f t="shared" si="195"/>
        <v>0.14389458610253575</v>
      </c>
      <c r="AO170" s="137">
        <f>$G170</f>
        <v>432.62610833331729</v>
      </c>
      <c r="AP170" s="544">
        <f t="shared" si="196"/>
        <v>0.53636073124571482</v>
      </c>
      <c r="AQ170" s="544">
        <f t="shared" si="197"/>
        <v>0.14389458610253575</v>
      </c>
    </row>
    <row r="171" spans="1:44" ht="15.75" hidden="1">
      <c r="B171" s="54"/>
      <c r="C171" s="569" t="s">
        <v>221</v>
      </c>
      <c r="D171" s="25">
        <v>4.3195023809523807</v>
      </c>
      <c r="E171" s="107"/>
      <c r="F171" s="108">
        <v>374.90870586393606</v>
      </c>
      <c r="G171" s="73">
        <v>1619.4190476190477</v>
      </c>
      <c r="H171" s="82"/>
      <c r="I171" s="57"/>
      <c r="J171" s="186">
        <f t="shared" si="154"/>
        <v>2.3259454793558669</v>
      </c>
      <c r="K171" s="57"/>
      <c r="L171" s="74">
        <v>2.0077216049683786</v>
      </c>
      <c r="M171" s="74">
        <v>0.53863053822949269</v>
      </c>
      <c r="N171" s="221">
        <f t="shared" si="198"/>
        <v>1.9454971552215203E-3</v>
      </c>
      <c r="P171" s="153">
        <v>1.0752999999999999</v>
      </c>
      <c r="Q171" s="137">
        <f>SUM(G171:G171)*P171</f>
        <v>1741.3613019047618</v>
      </c>
      <c r="R171" s="544">
        <f>Q171/$E$6</f>
        <v>2.1589030418224975</v>
      </c>
      <c r="S171" s="544">
        <f t="shared" si="189"/>
        <v>0.57918941775817345</v>
      </c>
      <c r="V171" s="153">
        <v>1.1585000000000001</v>
      </c>
      <c r="W171" s="137">
        <f>G171*V171</f>
        <v>1876.096966666667</v>
      </c>
      <c r="X171" s="544">
        <f t="shared" si="190"/>
        <v>2.3259454793558669</v>
      </c>
      <c r="Y171" s="544">
        <f t="shared" si="191"/>
        <v>0.62400347853886728</v>
      </c>
      <c r="AB171" s="154">
        <v>1.046</v>
      </c>
      <c r="AC171" s="137">
        <f>W171*AB171</f>
        <v>1962.3974271333336</v>
      </c>
      <c r="AD171" s="544">
        <f t="shared" si="192"/>
        <v>2.4329389714062368</v>
      </c>
      <c r="AE171" s="544">
        <f t="shared" si="193"/>
        <v>0.65270763855165526</v>
      </c>
      <c r="AI171" s="137">
        <f>AC171*AH171</f>
        <v>0</v>
      </c>
      <c r="AJ171" s="544">
        <f t="shared" si="194"/>
        <v>0</v>
      </c>
      <c r="AK171" s="544">
        <f t="shared" si="195"/>
        <v>0</v>
      </c>
      <c r="AO171" s="137">
        <f>AI171*AN171</f>
        <v>0</v>
      </c>
      <c r="AP171" s="544">
        <f t="shared" si="196"/>
        <v>0</v>
      </c>
      <c r="AQ171" s="544">
        <f t="shared" si="197"/>
        <v>0</v>
      </c>
    </row>
    <row r="172" spans="1:44" ht="15.75" hidden="1">
      <c r="B172" s="54"/>
      <c r="C172" s="569" t="s">
        <v>222</v>
      </c>
      <c r="D172" s="25"/>
      <c r="E172" s="64"/>
      <c r="F172" s="82"/>
      <c r="G172" s="73">
        <v>612.56609523809516</v>
      </c>
      <c r="H172" s="82"/>
      <c r="I172" s="57"/>
      <c r="J172" s="186">
        <f t="shared" si="154"/>
        <v>0.78760173456153149</v>
      </c>
      <c r="K172" s="57"/>
      <c r="L172" s="74">
        <v>0.75944653466244394</v>
      </c>
      <c r="M172" s="74">
        <v>0.20374393277906572</v>
      </c>
      <c r="N172" s="221">
        <f t="shared" si="198"/>
        <v>7.359093357726242E-4</v>
      </c>
      <c r="P172" s="153">
        <f>(207.54+407.16)/(398.58+204.71)</f>
        <v>1.0189129605993803</v>
      </c>
      <c r="Q172" s="137">
        <f>G172*P172</f>
        <v>624.1515336618495</v>
      </c>
      <c r="R172" s="544">
        <f>Q172/$E$6</f>
        <v>0.77380991704985069</v>
      </c>
      <c r="S172" s="544">
        <f t="shared" si="189"/>
        <v>0.20759733375207898</v>
      </c>
      <c r="V172" s="153">
        <f>(145.34+489.94)/(140.27+472.3)</f>
        <v>1.0370733140702286</v>
      </c>
      <c r="W172" s="137">
        <f>G172*V172</f>
        <v>635.27595047563068</v>
      </c>
      <c r="X172" s="544">
        <f t="shared" si="190"/>
        <v>0.78760173456153149</v>
      </c>
      <c r="Y172" s="544">
        <f t="shared" si="191"/>
        <v>0.21129739558888758</v>
      </c>
      <c r="AB172" s="153"/>
      <c r="AC172">
        <f>147.68+515.13</f>
        <v>662.81</v>
      </c>
      <c r="AD172" s="544">
        <f t="shared" ref="AD172" si="199">AC172/$E$6</f>
        <v>0.82173786886452249</v>
      </c>
      <c r="AE172" s="544">
        <f t="shared" ref="AE172" si="200">AC172/($E$7/100)</f>
        <v>0.22045542046006181</v>
      </c>
      <c r="AH172" s="153"/>
      <c r="AI172" s="137" t="e">
        <f>#REF!*AH172</f>
        <v>#REF!</v>
      </c>
      <c r="AJ172" s="544" t="e">
        <f t="shared" si="194"/>
        <v>#REF!</v>
      </c>
      <c r="AK172" s="544" t="e">
        <f t="shared" si="195"/>
        <v>#REF!</v>
      </c>
      <c r="AN172" s="153"/>
      <c r="AO172" s="137" t="e">
        <f>AI172*AN172</f>
        <v>#REF!</v>
      </c>
      <c r="AP172" s="544" t="e">
        <f t="shared" si="196"/>
        <v>#REF!</v>
      </c>
      <c r="AQ172" s="544" t="e">
        <f t="shared" si="197"/>
        <v>#REF!</v>
      </c>
    </row>
    <row r="173" spans="1:44" ht="15.75" hidden="1">
      <c r="B173" s="38"/>
      <c r="C173" s="569" t="s">
        <v>307</v>
      </c>
      <c r="D173" s="25"/>
      <c r="E173" s="64"/>
      <c r="F173" s="82"/>
      <c r="G173" s="73">
        <v>37.686400000000006</v>
      </c>
      <c r="H173" s="82"/>
      <c r="I173" s="57"/>
      <c r="J173" s="186">
        <f t="shared" si="154"/>
        <v>5.1295674678847311E-2</v>
      </c>
      <c r="K173" s="57"/>
      <c r="L173" s="74">
        <v>4.6722804455539217E-2</v>
      </c>
      <c r="M173" s="74">
        <v>1.2534770383105378E-2</v>
      </c>
      <c r="N173" s="221">
        <f t="shared" si="198"/>
        <v>4.5274744729189972E-5</v>
      </c>
      <c r="P173" s="153">
        <f>(207.54+407.16)/(398.58+204.71)</f>
        <v>1.0189129605993803</v>
      </c>
      <c r="Q173" s="137">
        <f>G173*P173</f>
        <v>38.399161398332495</v>
      </c>
      <c r="R173" s="544">
        <f>Q173/$E$6</f>
        <v>4.7606471015299384E-2</v>
      </c>
      <c r="S173" s="544">
        <f t="shared" si="189"/>
        <v>1.2771840001483329E-2</v>
      </c>
      <c r="V173" s="153">
        <f>12.9/11.75</f>
        <v>1.0978723404255319</v>
      </c>
      <c r="W173" s="544">
        <f>G173*V173</f>
        <v>41.374856170212773</v>
      </c>
      <c r="X173" s="544">
        <f t="shared" si="190"/>
        <v>5.1295674678847311E-2</v>
      </c>
      <c r="Y173" s="544">
        <f t="shared" si="191"/>
        <v>1.3761577697196542E-2</v>
      </c>
      <c r="AB173" s="153">
        <f>13.37/12.9</f>
        <v>1.0364341085271318</v>
      </c>
      <c r="AC173" s="137">
        <f t="shared" ref="AC173:AC174" si="201">W173*AB173</f>
        <v>42.882312170212771</v>
      </c>
      <c r="AD173" s="544">
        <f t="shared" si="192"/>
        <v>5.3164586857068874E-2</v>
      </c>
      <c r="AE173" s="544">
        <f t="shared" si="193"/>
        <v>1.4262968512520756E-2</v>
      </c>
      <c r="AH173" s="153"/>
      <c r="AI173" s="137">
        <f t="shared" ref="AI173:AI174" si="202">AC173*AH173</f>
        <v>0</v>
      </c>
      <c r="AJ173" s="544">
        <f t="shared" si="194"/>
        <v>0</v>
      </c>
      <c r="AK173" s="544">
        <f t="shared" si="195"/>
        <v>0</v>
      </c>
      <c r="AN173" s="153"/>
      <c r="AO173" s="137">
        <f t="shared" ref="AO173:AO174" si="203">AI173*AN173</f>
        <v>0</v>
      </c>
      <c r="AP173" s="544">
        <f t="shared" si="196"/>
        <v>0</v>
      </c>
      <c r="AQ173" s="544">
        <f t="shared" si="197"/>
        <v>0</v>
      </c>
    </row>
    <row r="174" spans="1:44" ht="15.75" hidden="1">
      <c r="B174" s="38"/>
      <c r="C174" s="569" t="s">
        <v>223</v>
      </c>
      <c r="D174" s="25"/>
      <c r="E174" s="64"/>
      <c r="F174" s="82"/>
      <c r="G174" s="73">
        <v>2640.9506666666671</v>
      </c>
      <c r="H174" s="82"/>
      <c r="I174" s="57"/>
      <c r="J174" s="186">
        <f t="shared" si="154"/>
        <v>3.4360011239571162</v>
      </c>
      <c r="K174" s="57"/>
      <c r="L174" s="74">
        <v>3.2741949768455623</v>
      </c>
      <c r="M174" s="74">
        <v>0.87839937483484054</v>
      </c>
      <c r="N174" s="221"/>
      <c r="P174" s="153">
        <f>(2869.39+1181.76)/(1126.17+2788.33)</f>
        <v>1.0349086728828714</v>
      </c>
      <c r="Q174" s="137">
        <f>G174*P174</f>
        <v>2733.1427495891348</v>
      </c>
      <c r="R174" s="544">
        <f t="shared" ref="R174" si="204">Q174/$E$6</f>
        <v>3.3884927782470045</v>
      </c>
      <c r="S174" s="544">
        <f t="shared" si="189"/>
        <v>0.90906313127146865</v>
      </c>
      <c r="V174" s="153">
        <f>144.4/137.6</f>
        <v>1.0494186046511629</v>
      </c>
      <c r="W174" s="137">
        <f>G174*V174</f>
        <v>2771.4627635658921</v>
      </c>
      <c r="X174" s="544">
        <f t="shared" si="190"/>
        <v>3.4360011239571162</v>
      </c>
      <c r="Y174" s="544">
        <f t="shared" si="191"/>
        <v>0.92180864626563219</v>
      </c>
      <c r="AB174" s="153">
        <f>148.9/144.4</f>
        <v>1.0311634349030472</v>
      </c>
      <c r="AC174" s="137">
        <f t="shared" si="201"/>
        <v>2857.8310629844973</v>
      </c>
      <c r="AD174" s="544">
        <f t="shared" si="192"/>
        <v>3.5430787213103514</v>
      </c>
      <c r="AE174" s="544">
        <f t="shared" si="193"/>
        <v>0.95053537000659727</v>
      </c>
      <c r="AH174" s="153"/>
      <c r="AI174" s="137">
        <f t="shared" si="202"/>
        <v>0</v>
      </c>
      <c r="AJ174" s="544">
        <f t="shared" si="194"/>
        <v>0</v>
      </c>
      <c r="AK174" s="544">
        <f t="shared" si="195"/>
        <v>0</v>
      </c>
      <c r="AN174" s="153"/>
      <c r="AO174" s="137">
        <f t="shared" si="203"/>
        <v>0</v>
      </c>
      <c r="AP174" s="544">
        <f t="shared" si="196"/>
        <v>0</v>
      </c>
      <c r="AQ174" s="544">
        <f t="shared" si="197"/>
        <v>0</v>
      </c>
    </row>
    <row r="175" spans="1:44" ht="15.75" hidden="1">
      <c r="B175" s="24"/>
      <c r="C175" s="48"/>
      <c r="D175" s="48"/>
      <c r="E175" s="82"/>
      <c r="F175" s="85" t="s">
        <v>69</v>
      </c>
      <c r="G175" s="120">
        <v>9520.705512183089</v>
      </c>
      <c r="H175" s="130"/>
      <c r="J175" s="196">
        <f t="shared" si="154"/>
        <v>12.316328130800153</v>
      </c>
      <c r="L175" s="121">
        <v>11.803570039178716</v>
      </c>
      <c r="M175" s="121">
        <v>3.1666558090022043</v>
      </c>
      <c r="N175" s="222">
        <f t="shared" si="198"/>
        <v>1.1437747083984703E-2</v>
      </c>
      <c r="P175" s="156"/>
      <c r="Q175" s="157">
        <f>SUM(Q169:Q174)</f>
        <v>9747.1380492133576</v>
      </c>
      <c r="R175" s="559">
        <f>Q175/$E$6</f>
        <v>12.084296326381443</v>
      </c>
      <c r="S175" s="559">
        <f t="shared" si="189"/>
        <v>3.2419689155589047</v>
      </c>
      <c r="T175" s="156"/>
      <c r="V175" s="156"/>
      <c r="W175" s="157">
        <f>SUM(W169:W174)</f>
        <v>9934.2938395376823</v>
      </c>
      <c r="X175" s="559">
        <f t="shared" si="190"/>
        <v>12.316328130800153</v>
      </c>
      <c r="Y175" s="559">
        <f t="shared" si="191"/>
        <v>3.304218290866284</v>
      </c>
      <c r="Z175" s="156"/>
      <c r="AB175" s="156"/>
      <c r="AC175" s="157">
        <f>SUM(AC169:AC174)</f>
        <v>10136.004104947322</v>
      </c>
      <c r="AD175" s="559">
        <f t="shared" si="192"/>
        <v>12.56640426668497</v>
      </c>
      <c r="AE175" s="559">
        <f t="shared" si="193"/>
        <v>3.3713085903065347</v>
      </c>
      <c r="AF175" s="156"/>
      <c r="AH175" s="156"/>
      <c r="AI175" s="157" t="e">
        <f>SUM(AI169:AI174)</f>
        <v>#REF!</v>
      </c>
      <c r="AJ175" s="559" t="e">
        <f t="shared" si="194"/>
        <v>#REF!</v>
      </c>
      <c r="AK175" s="559" t="e">
        <f t="shared" si="195"/>
        <v>#REF!</v>
      </c>
      <c r="AL175" s="156"/>
      <c r="AN175" s="156"/>
      <c r="AO175" s="157" t="e">
        <f>SUM(AO169:AO174)</f>
        <v>#REF!</v>
      </c>
      <c r="AP175" s="559" t="e">
        <f t="shared" si="196"/>
        <v>#REF!</v>
      </c>
      <c r="AQ175" s="559" t="e">
        <f t="shared" si="197"/>
        <v>#REF!</v>
      </c>
      <c r="AR175" s="156"/>
    </row>
    <row r="176" spans="1:44" ht="15.75" hidden="1">
      <c r="B176" s="26"/>
      <c r="C176" s="27" t="s">
        <v>6</v>
      </c>
      <c r="D176" s="27"/>
      <c r="E176" s="101"/>
      <c r="F176" s="101"/>
      <c r="G176" s="77">
        <v>93253.678725662176</v>
      </c>
      <c r="H176" s="102"/>
      <c r="J176" s="187">
        <f t="shared" si="154"/>
        <v>115.89482395621604</v>
      </c>
      <c r="L176" s="79">
        <v>115.613945504447</v>
      </c>
      <c r="M176" s="79">
        <v>31.016850911895379</v>
      </c>
      <c r="N176" s="203">
        <f>G176/$N$6</f>
        <v>0.11203077235719644</v>
      </c>
      <c r="P176" s="156"/>
      <c r="Q176" s="157">
        <f>Q150+Q162+Q175+Q166</f>
        <v>96449.335108015788</v>
      </c>
      <c r="R176" s="559">
        <f>Q176/$E$6</f>
        <v>119.57585293683117</v>
      </c>
      <c r="S176" s="559">
        <f t="shared" si="189"/>
        <v>32.079749436989516</v>
      </c>
      <c r="T176" s="156"/>
      <c r="V176" s="156"/>
      <c r="W176" s="157">
        <f>W150+W162+W175+W166</f>
        <v>93480.233997934469</v>
      </c>
      <c r="X176" s="559">
        <f t="shared" si="190"/>
        <v>115.89482395621604</v>
      </c>
      <c r="Y176" s="559">
        <f t="shared" si="191"/>
        <v>31.092204841085092</v>
      </c>
      <c r="Z176" s="156"/>
      <c r="AB176" s="156"/>
      <c r="AC176" s="157">
        <f>AC150+AC162+AC175+AC166</f>
        <v>94425.895583562611</v>
      </c>
      <c r="AD176" s="559">
        <f t="shared" si="192"/>
        <v>117.06723525966818</v>
      </c>
      <c r="AE176" s="559">
        <f t="shared" si="193"/>
        <v>31.40673875347715</v>
      </c>
      <c r="AF176" s="156"/>
      <c r="AH176" s="156"/>
      <c r="AI176" s="157" t="e">
        <f>AI150+AI162+AI175+AI166</f>
        <v>#REF!</v>
      </c>
      <c r="AJ176" s="559" t="e">
        <f t="shared" si="194"/>
        <v>#REF!</v>
      </c>
      <c r="AK176" s="559" t="e">
        <f t="shared" si="195"/>
        <v>#REF!</v>
      </c>
      <c r="AL176" s="156"/>
      <c r="AN176" s="156"/>
      <c r="AO176" s="157" t="e">
        <f>AO150+AO162+AO175+AO166</f>
        <v>#REF!</v>
      </c>
      <c r="AP176" s="559" t="e">
        <f t="shared" si="196"/>
        <v>#REF!</v>
      </c>
      <c r="AQ176" s="559" t="e">
        <f t="shared" si="197"/>
        <v>#REF!</v>
      </c>
      <c r="AR176" s="156"/>
    </row>
    <row r="177" spans="1:44" ht="15.75" hidden="1">
      <c r="C177" s="21"/>
      <c r="D177" s="21"/>
      <c r="E177" s="28"/>
      <c r="F177" s="41"/>
      <c r="G177" s="28"/>
      <c r="H177" s="131"/>
      <c r="J177" s="182"/>
      <c r="L177" s="28"/>
      <c r="M177" s="28"/>
      <c r="N177" s="144"/>
    </row>
    <row r="178" spans="1:44" ht="15" hidden="1">
      <c r="B178" s="17">
        <v>21</v>
      </c>
      <c r="C178" s="18" t="s">
        <v>61</v>
      </c>
      <c r="D178" s="18" t="s">
        <v>65</v>
      </c>
      <c r="E178" s="18" t="s">
        <v>4</v>
      </c>
      <c r="F178" s="18" t="s">
        <v>70</v>
      </c>
      <c r="G178" s="68" t="s">
        <v>67</v>
      </c>
      <c r="H178" s="91"/>
      <c r="J178" s="184" t="s">
        <v>86</v>
      </c>
      <c r="L178" s="69" t="s">
        <v>278</v>
      </c>
      <c r="M178" s="69" t="s">
        <v>279</v>
      </c>
      <c r="N178" s="138" t="s">
        <v>83</v>
      </c>
      <c r="Q178" s="69" t="s">
        <v>67</v>
      </c>
      <c r="R178" s="69" t="s">
        <v>278</v>
      </c>
      <c r="S178" s="69" t="s">
        <v>279</v>
      </c>
      <c r="T178" s="138" t="s">
        <v>83</v>
      </c>
      <c r="W178" s="69" t="s">
        <v>67</v>
      </c>
      <c r="X178" s="69" t="s">
        <v>278</v>
      </c>
      <c r="Y178" s="69" t="s">
        <v>279</v>
      </c>
      <c r="Z178" s="138" t="s">
        <v>83</v>
      </c>
      <c r="AC178" s="69" t="s">
        <v>67</v>
      </c>
      <c r="AD178" s="69" t="s">
        <v>278</v>
      </c>
      <c r="AE178" s="69" t="s">
        <v>279</v>
      </c>
      <c r="AF178" s="138" t="s">
        <v>83</v>
      </c>
      <c r="AI178" s="69" t="s">
        <v>67</v>
      </c>
      <c r="AJ178" s="69" t="s">
        <v>278</v>
      </c>
      <c r="AK178" s="69" t="s">
        <v>279</v>
      </c>
      <c r="AL178" s="138" t="s">
        <v>83</v>
      </c>
      <c r="AO178" s="69" t="s">
        <v>67</v>
      </c>
      <c r="AP178" s="69" t="s">
        <v>278</v>
      </c>
      <c r="AQ178" s="69" t="s">
        <v>279</v>
      </c>
      <c r="AR178" s="138" t="s">
        <v>83</v>
      </c>
    </row>
    <row r="179" spans="1:44" ht="15.75" hidden="1">
      <c r="A179" s="21"/>
      <c r="B179" s="22"/>
      <c r="C179" s="30" t="s">
        <v>7</v>
      </c>
      <c r="D179" s="30">
        <v>1.0144463793505429</v>
      </c>
      <c r="E179" s="132"/>
      <c r="F179" s="86">
        <v>63481.19000000001</v>
      </c>
      <c r="G179" s="72">
        <v>64398.263352363902</v>
      </c>
      <c r="H179" s="82"/>
      <c r="J179" s="186">
        <f t="shared" ref="J179:J182" si="205">IF($D$2=$L$2,L179,IF($D$2=$M$2,M179,IF($D$2=$N$2,N179,IF($D$2=$R$2,R179,IF($D$2=$S$2,S179,IF($D$2=$T$2,T179,IF($D$2=$X$2,X179,IF($D$2=$Y$2,Y179,IF($D$2=$Z$2,Z179,IF($D$2=$AD$2,AD179,IF($D$2=$AE$2,AE179,IF($D$2=$AF$2,AF179,IF($D$2=$AJ$2,AJ179,IF($D$2=$AK$2,AK179,IF($D$2=$AL$2,AL179,IF($D$2=$AP$2,AP179,IF($D$2=$AQ$2,AQ179,IF($D$2=$AR$2,AR179))))))))))))))))))</f>
        <v>89.093744299319994</v>
      </c>
      <c r="L179" s="74">
        <v>79.83960967056592</v>
      </c>
      <c r="M179" s="74">
        <v>21.41933016134816</v>
      </c>
      <c r="N179" s="140"/>
      <c r="P179" s="153">
        <f>964.47/932.11</f>
        <v>1.0347169325508792</v>
      </c>
      <c r="Q179" s="137">
        <f>G179*P179</f>
        <v>66633.973517561666</v>
      </c>
      <c r="R179" s="544">
        <f>Q179/$E$6</f>
        <v>82.611396014387466</v>
      </c>
      <c r="S179" s="544">
        <f>Q179/($E$7/100)</f>
        <v>22.162943601844695</v>
      </c>
      <c r="V179" s="153">
        <f>1040.15/932.11</f>
        <v>1.115909066526483</v>
      </c>
      <c r="W179" s="137">
        <f>G179*V179</f>
        <v>71862.60594346303</v>
      </c>
      <c r="X179" s="544">
        <f>W179/$E$6</f>
        <v>89.093744299319994</v>
      </c>
      <c r="Y179" s="544">
        <f>W179/($E$7/100)</f>
        <v>23.90202472597257</v>
      </c>
      <c r="AB179" s="153">
        <f>1069.8/1040.15</f>
        <v>1.028505504013844</v>
      </c>
      <c r="AC179" s="137">
        <f>W179*AB179</f>
        <v>73911.085745629709</v>
      </c>
      <c r="AD179" s="544">
        <f>AC179/$E$6</f>
        <v>91.633406385052652</v>
      </c>
      <c r="AE179" s="544">
        <f>AC179/($E$7/100)</f>
        <v>24.583363987737783</v>
      </c>
      <c r="AH179" s="153"/>
      <c r="AI179" s="137">
        <f>AC179*AH179</f>
        <v>0</v>
      </c>
      <c r="AJ179" s="544">
        <f>AI179/$E$6</f>
        <v>0</v>
      </c>
      <c r="AK179" s="544">
        <f>AI179/($E$7/100)</f>
        <v>0</v>
      </c>
      <c r="AN179" s="153"/>
      <c r="AO179" s="137">
        <f>AI179*AN179</f>
        <v>0</v>
      </c>
      <c r="AP179" s="544">
        <f>AO179/$E$6</f>
        <v>0</v>
      </c>
      <c r="AQ179" s="544">
        <f>AO179/($E$7/100)</f>
        <v>0</v>
      </c>
    </row>
    <row r="180" spans="1:44" ht="15.75" hidden="1">
      <c r="B180" s="24"/>
      <c r="C180" s="55"/>
      <c r="D180" s="55">
        <v>3071.2337353442308</v>
      </c>
      <c r="E180" s="109" t="s">
        <v>224</v>
      </c>
      <c r="F180" s="64"/>
      <c r="G180" s="73"/>
      <c r="H180" s="82"/>
      <c r="I180" s="57"/>
      <c r="J180" s="186"/>
      <c r="K180" s="57"/>
      <c r="L180" s="407"/>
      <c r="M180" s="407"/>
      <c r="N180" s="408"/>
    </row>
    <row r="181" spans="1:44" ht="15.75" hidden="1">
      <c r="B181" s="24"/>
      <c r="C181" s="55"/>
      <c r="D181" s="55">
        <v>3115.6019429591984</v>
      </c>
      <c r="E181" s="104" t="s">
        <v>68</v>
      </c>
      <c r="F181" s="20"/>
      <c r="G181" s="73"/>
      <c r="H181" s="82"/>
      <c r="I181" s="57"/>
      <c r="J181" s="186"/>
      <c r="K181" s="57"/>
      <c r="L181" s="74"/>
      <c r="M181" s="74"/>
      <c r="N181" s="140"/>
    </row>
    <row r="182" spans="1:44" ht="15.75" hidden="1">
      <c r="B182" s="26"/>
      <c r="C182" s="27" t="s">
        <v>6</v>
      </c>
      <c r="D182" s="27"/>
      <c r="E182" s="133"/>
      <c r="F182" s="133"/>
      <c r="G182" s="77">
        <v>64398.263352363902</v>
      </c>
      <c r="H182" s="89"/>
      <c r="J182" s="187">
        <f t="shared" si="205"/>
        <v>89.093744299319994</v>
      </c>
      <c r="L182" s="79">
        <v>79.83960967056592</v>
      </c>
      <c r="M182" s="79">
        <v>21.41933016134816</v>
      </c>
      <c r="N182" s="141"/>
      <c r="P182" s="156"/>
      <c r="Q182" s="157">
        <f>Q179</f>
        <v>66633.973517561666</v>
      </c>
      <c r="R182" s="559">
        <f>Q182/$E$6</f>
        <v>82.611396014387466</v>
      </c>
      <c r="S182" s="559">
        <f>Q182/($E$7/100)</f>
        <v>22.162943601844695</v>
      </c>
      <c r="T182" s="156"/>
      <c r="V182" s="156"/>
      <c r="W182" s="157">
        <f>W179</f>
        <v>71862.60594346303</v>
      </c>
      <c r="X182" s="559">
        <f>W182/$E$6</f>
        <v>89.093744299319994</v>
      </c>
      <c r="Y182" s="559">
        <f>W182/($E$7/100)</f>
        <v>23.90202472597257</v>
      </c>
      <c r="Z182" s="156"/>
      <c r="AB182" s="156"/>
      <c r="AC182" s="157">
        <f>AC179</f>
        <v>73911.085745629709</v>
      </c>
      <c r="AD182" s="559">
        <f>AC182/$E$6</f>
        <v>91.633406385052652</v>
      </c>
      <c r="AE182" s="559">
        <f>AC182/($E$7/100)</f>
        <v>24.583363987737783</v>
      </c>
      <c r="AF182" s="156"/>
      <c r="AH182" s="156"/>
      <c r="AI182" s="157">
        <f>AI179</f>
        <v>0</v>
      </c>
      <c r="AJ182" s="559">
        <f>AI182/$E$6</f>
        <v>0</v>
      </c>
      <c r="AK182" s="559">
        <f>AI182/($E$7/100)</f>
        <v>0</v>
      </c>
      <c r="AL182" s="156"/>
      <c r="AN182" s="156"/>
      <c r="AO182" s="157">
        <f>AO179</f>
        <v>0</v>
      </c>
      <c r="AP182" s="559">
        <f>AO182/$E$6</f>
        <v>0</v>
      </c>
      <c r="AQ182" s="559">
        <f>AO182/($E$7/100)</f>
        <v>0</v>
      </c>
      <c r="AR182" s="156"/>
    </row>
    <row r="183" spans="1:44" ht="15.75" hidden="1">
      <c r="A183" s="21"/>
      <c r="B183" s="28"/>
      <c r="C183" s="28"/>
      <c r="D183" s="28"/>
      <c r="E183" s="134"/>
      <c r="F183" s="134"/>
      <c r="G183" s="28"/>
      <c r="H183" s="90"/>
      <c r="J183" s="182"/>
      <c r="L183" s="28"/>
      <c r="M183" s="28"/>
      <c r="N183" s="144"/>
    </row>
    <row r="184" spans="1:44" ht="15" hidden="1">
      <c r="B184" s="17">
        <v>22</v>
      </c>
      <c r="C184" s="18" t="s">
        <v>225</v>
      </c>
      <c r="D184" s="18" t="s">
        <v>65</v>
      </c>
      <c r="E184" s="18" t="s">
        <v>4</v>
      </c>
      <c r="F184" s="18" t="s">
        <v>70</v>
      </c>
      <c r="G184" s="68" t="s">
        <v>67</v>
      </c>
      <c r="H184" s="91"/>
      <c r="J184" s="184" t="s">
        <v>86</v>
      </c>
      <c r="L184" s="69" t="s">
        <v>278</v>
      </c>
      <c r="M184" s="69" t="s">
        <v>279</v>
      </c>
      <c r="N184" s="138" t="s">
        <v>83</v>
      </c>
      <c r="Q184" s="69" t="s">
        <v>67</v>
      </c>
      <c r="R184" s="69" t="s">
        <v>278</v>
      </c>
      <c r="S184" s="69" t="s">
        <v>279</v>
      </c>
      <c r="T184" s="138" t="s">
        <v>83</v>
      </c>
      <c r="W184" s="69" t="s">
        <v>67</v>
      </c>
      <c r="X184" s="69" t="s">
        <v>278</v>
      </c>
      <c r="Y184" s="69" t="s">
        <v>279</v>
      </c>
      <c r="Z184" s="138" t="s">
        <v>83</v>
      </c>
      <c r="AC184" s="69" t="s">
        <v>67</v>
      </c>
      <c r="AD184" s="69" t="s">
        <v>278</v>
      </c>
      <c r="AE184" s="69" t="s">
        <v>279</v>
      </c>
      <c r="AF184" s="138" t="s">
        <v>83</v>
      </c>
      <c r="AI184" s="69" t="s">
        <v>67</v>
      </c>
      <c r="AJ184" s="69" t="s">
        <v>278</v>
      </c>
      <c r="AK184" s="69" t="s">
        <v>279</v>
      </c>
      <c r="AL184" s="138" t="s">
        <v>83</v>
      </c>
      <c r="AO184" s="69" t="s">
        <v>67</v>
      </c>
      <c r="AP184" s="69" t="s">
        <v>278</v>
      </c>
      <c r="AQ184" s="69" t="s">
        <v>279</v>
      </c>
      <c r="AR184" s="138" t="s">
        <v>83</v>
      </c>
    </row>
    <row r="185" spans="1:44" ht="15.75" hidden="1">
      <c r="A185" s="21"/>
      <c r="B185" s="22"/>
      <c r="C185" s="30" t="s">
        <v>42</v>
      </c>
      <c r="D185" s="30">
        <v>859.628718805831</v>
      </c>
      <c r="E185" s="132"/>
      <c r="F185" s="86">
        <v>11.750000000000002</v>
      </c>
      <c r="G185" s="72">
        <v>10100.637445968516</v>
      </c>
      <c r="H185" s="82"/>
      <c r="J185" s="186">
        <f t="shared" ref="J185:J188" si="206">IF($D$2=$L$2,L185,IF($D$2=$M$2,M185,IF($D$2=$N$2,N185,IF($D$2=$R$2,R185,IF($D$2=$S$2,S185,IF($D$2=$T$2,T185,IF($D$2=$X$2,X185,IF($D$2=$Y$2,Y185,IF($D$2=$Z$2,Z185,IF($D$2=$AD$2,AD185,IF($D$2=$AE$2,AE185,IF($D$2=$AF$2,AF185,IF($D$2=$AJ$2,AJ185,IF($D$2=$AK$2,AK185,IF($D$2=$AL$2,AL185,IF($D$2=$AP$2,AP185,IF($D$2=$AQ$2,AQ185,IF($D$2=$AR$2,AR185))))))))))))))))))</f>
        <v>13.748169431874205</v>
      </c>
      <c r="L185" s="74">
        <v>12.522557428257512</v>
      </c>
      <c r="M185" s="74">
        <v>3.3595453826370063</v>
      </c>
      <c r="N185" s="140"/>
      <c r="P185" s="153">
        <f>12.33/11.75</f>
        <v>1.0493617021276596</v>
      </c>
      <c r="Q185" s="137">
        <f>G185*P185</f>
        <v>10599.222102875898</v>
      </c>
      <c r="R185" s="544">
        <f>Q185/$E$6</f>
        <v>13.14069217790767</v>
      </c>
      <c r="S185" s="544">
        <f>Q185/($E$7/100)</f>
        <v>3.525378261099088</v>
      </c>
      <c r="V185" s="153">
        <f>12.9/11.75</f>
        <v>1.0978723404255319</v>
      </c>
      <c r="W185" s="137">
        <f>G185*V185</f>
        <v>11089.210472595221</v>
      </c>
      <c r="X185" s="544">
        <f>W185/$E$6</f>
        <v>13.748169431874205</v>
      </c>
      <c r="Y185" s="544">
        <f>W185/($E$7/100)</f>
        <v>3.6883519520014789</v>
      </c>
      <c r="AB185" s="153">
        <f>13.37/12.9</f>
        <v>1.0364341085271318</v>
      </c>
      <c r="AC185" s="137">
        <f>W185*AB185</f>
        <v>11493.235970433961</v>
      </c>
      <c r="AD185" s="544">
        <f>AC185/$E$6</f>
        <v>14.249071729004505</v>
      </c>
      <c r="AE185" s="544">
        <f>AC185/($E$7/100)</f>
        <v>3.8227337673069592</v>
      </c>
      <c r="AH185" s="153"/>
      <c r="AI185" s="137">
        <f>AC185*AH185</f>
        <v>0</v>
      </c>
      <c r="AJ185" s="544">
        <f>AI185/$E$6</f>
        <v>0</v>
      </c>
      <c r="AK185" s="544">
        <f>AI185/($E$7/100)</f>
        <v>0</v>
      </c>
      <c r="AN185" s="153"/>
      <c r="AO185" s="137">
        <f>AI185*AN185</f>
        <v>0</v>
      </c>
      <c r="AP185" s="544">
        <f>AO185/$E$6</f>
        <v>0</v>
      </c>
      <c r="AQ185" s="544">
        <f>AO185/($E$7/100)</f>
        <v>0</v>
      </c>
    </row>
    <row r="186" spans="1:44" ht="15.75" hidden="1">
      <c r="B186" s="24"/>
      <c r="C186" s="55" t="s">
        <v>43</v>
      </c>
      <c r="D186" s="55">
        <v>200.76221744792986</v>
      </c>
      <c r="E186" s="109"/>
      <c r="F186" s="64">
        <v>16.128242206002</v>
      </c>
      <c r="G186" s="73">
        <v>3237.9416688142533</v>
      </c>
      <c r="H186" s="82"/>
      <c r="I186" s="57"/>
      <c r="J186" s="186">
        <f t="shared" si="206"/>
        <v>4.4072238917110651</v>
      </c>
      <c r="K186" s="57"/>
      <c r="L186" s="74">
        <v>4.0143318393492251</v>
      </c>
      <c r="M186" s="74">
        <v>1.0769629185190333</v>
      </c>
      <c r="N186" s="408"/>
      <c r="P186" s="154" t="s">
        <v>326</v>
      </c>
      <c r="Q186" s="137">
        <f>G186*P185</f>
        <v>3397.7719809769992</v>
      </c>
      <c r="R186" s="544">
        <f t="shared" ref="R186:R187" si="207">Q186/$E$6</f>
        <v>4.2124860918447613</v>
      </c>
      <c r="S186" s="544">
        <f>Q186/($E$7/100)</f>
        <v>1.1301236413055047</v>
      </c>
      <c r="V186" s="154" t="s">
        <v>229</v>
      </c>
      <c r="W186" s="137">
        <f>G186*V185</f>
        <v>3554.8465981024569</v>
      </c>
      <c r="X186" s="544">
        <f>W186/$E$6</f>
        <v>4.4072238917110651</v>
      </c>
      <c r="Y186" s="544">
        <f>W186/($E$7/100)</f>
        <v>1.1823677999060025</v>
      </c>
      <c r="AB186" s="154" t="s">
        <v>232</v>
      </c>
      <c r="AC186" s="137">
        <f>W186*AB185</f>
        <v>3684.3642648550272</v>
      </c>
      <c r="AD186" s="544">
        <f>AC186/$E$6</f>
        <v>4.5677971652850342</v>
      </c>
      <c r="AE186" s="544">
        <f>AC186/($E$7/100)</f>
        <v>1.225446316646764</v>
      </c>
      <c r="AH186" s="154" t="s">
        <v>231</v>
      </c>
      <c r="AI186" s="137">
        <f>AC186*AH185</f>
        <v>0</v>
      </c>
      <c r="AJ186" s="544">
        <f>AI186/$E$6</f>
        <v>0</v>
      </c>
      <c r="AK186" s="544">
        <f>AI186/($E$7/100)</f>
        <v>0</v>
      </c>
      <c r="AN186" s="154" t="s">
        <v>230</v>
      </c>
      <c r="AO186" s="137">
        <f>AI186*AN185</f>
        <v>0</v>
      </c>
      <c r="AP186" s="544">
        <f>AO186/$E$6</f>
        <v>0</v>
      </c>
      <c r="AQ186" s="544">
        <f>AO186/($E$7/100)</f>
        <v>0</v>
      </c>
    </row>
    <row r="187" spans="1:44" ht="15.75" hidden="1">
      <c r="B187" s="24"/>
      <c r="C187" s="55" t="s">
        <v>44</v>
      </c>
      <c r="D187" s="55">
        <v>55.594262161049791</v>
      </c>
      <c r="E187" s="104"/>
      <c r="F187" s="20">
        <v>17.279387531817147</v>
      </c>
      <c r="G187" s="73">
        <v>960.63480042621757</v>
      </c>
      <c r="H187" s="82"/>
      <c r="I187" s="57"/>
      <c r="J187" s="186">
        <f t="shared" si="206"/>
        <v>1.3075382686550761</v>
      </c>
      <c r="K187" s="57"/>
      <c r="L187" s="74">
        <v>1.1909747795889258</v>
      </c>
      <c r="M187" s="74">
        <v>0.31951411239499911</v>
      </c>
      <c r="N187" s="140"/>
      <c r="P187" s="154" t="s">
        <v>326</v>
      </c>
      <c r="Q187" s="137">
        <f>G187*P185</f>
        <v>1008.0533692983201</v>
      </c>
      <c r="R187" s="544">
        <f t="shared" si="207"/>
        <v>1.2497633219005493</v>
      </c>
      <c r="S187" s="544">
        <f>Q187/($E$7/100)</f>
        <v>0.33528587283662459</v>
      </c>
      <c r="V187" s="154" t="s">
        <v>229</v>
      </c>
      <c r="W187" s="137">
        <f>G187*V185</f>
        <v>1054.6543766381453</v>
      </c>
      <c r="X187" s="544">
        <f>W187/$E$6</f>
        <v>1.3075382686550761</v>
      </c>
      <c r="Y187" s="544">
        <f>W187/($E$7/100)</f>
        <v>0.35078570637408418</v>
      </c>
      <c r="AB187" s="154" t="s">
        <v>232</v>
      </c>
      <c r="AC187" s="137">
        <f>W187*AB185</f>
        <v>1093.0797686551941</v>
      </c>
      <c r="AD187" s="544">
        <f>AC187/$E$6</f>
        <v>1.3551772598386334</v>
      </c>
      <c r="AE187" s="544">
        <f>AC187/($E$7/100)</f>
        <v>0.36356627086988419</v>
      </c>
      <c r="AH187" s="154" t="s">
        <v>231</v>
      </c>
      <c r="AI187" s="137">
        <f>AC187*AH185</f>
        <v>0</v>
      </c>
      <c r="AJ187" s="544">
        <f>AI187/$E$6</f>
        <v>0</v>
      </c>
      <c r="AK187" s="544">
        <f>AI187/($E$7/100)</f>
        <v>0</v>
      </c>
      <c r="AN187" s="154" t="s">
        <v>230</v>
      </c>
      <c r="AO187" s="137">
        <f>AI187*AN185</f>
        <v>0</v>
      </c>
      <c r="AP187" s="544">
        <f>AO187/$E$6</f>
        <v>0</v>
      </c>
      <c r="AQ187" s="544">
        <f>AO187/($E$7/100)</f>
        <v>0</v>
      </c>
    </row>
    <row r="188" spans="1:44" ht="15.75" hidden="1">
      <c r="B188" s="26"/>
      <c r="C188" s="27" t="s">
        <v>6</v>
      </c>
      <c r="D188" s="27"/>
      <c r="E188" s="133"/>
      <c r="F188" s="133"/>
      <c r="G188" s="77">
        <v>14299.213915208988</v>
      </c>
      <c r="H188" s="89"/>
      <c r="J188" s="187">
        <f t="shared" si="206"/>
        <v>19.462931592240345</v>
      </c>
      <c r="L188" s="79">
        <v>17.727864047195666</v>
      </c>
      <c r="M188" s="79">
        <v>4.7560224135510385</v>
      </c>
      <c r="N188" s="141"/>
      <c r="P188" s="156"/>
      <c r="Q188" s="157">
        <f>SUM(Q185:Q187)</f>
        <v>15005.047453151217</v>
      </c>
      <c r="R188" s="559">
        <f>Q188/$E$6</f>
        <v>18.602941591652982</v>
      </c>
      <c r="S188" s="559">
        <f>Q188/($E$7/100)</f>
        <v>4.9907877752412171</v>
      </c>
      <c r="T188" s="156"/>
      <c r="V188" s="156"/>
      <c r="W188" s="157">
        <f>SUM(W185:W187)</f>
        <v>15698.711447335823</v>
      </c>
      <c r="X188" s="559">
        <f>W188/$E$6</f>
        <v>19.462931592240345</v>
      </c>
      <c r="Y188" s="559">
        <f>W188/($E$7/100)</f>
        <v>5.2215054582815661</v>
      </c>
      <c r="Z188" s="156"/>
      <c r="AB188" s="156"/>
      <c r="AC188" s="157">
        <f>SUM(AC185:AC187)</f>
        <v>16270.680003944182</v>
      </c>
      <c r="AD188" s="559">
        <f>AC188/$E$6</f>
        <v>20.172046154128171</v>
      </c>
      <c r="AE188" s="559">
        <f>AC188/($E$7/100)</f>
        <v>5.4117463548236069</v>
      </c>
      <c r="AF188" s="156"/>
      <c r="AH188" s="156"/>
      <c r="AI188" s="157">
        <f>SUM(AI185:AI187)</f>
        <v>0</v>
      </c>
      <c r="AJ188" s="559">
        <f>AI188/$E$6</f>
        <v>0</v>
      </c>
      <c r="AK188" s="559">
        <f>AI188/($E$7/100)</f>
        <v>0</v>
      </c>
      <c r="AL188" s="156"/>
      <c r="AN188" s="156"/>
      <c r="AO188" s="157">
        <f>SUM(AO185:AO187)</f>
        <v>0</v>
      </c>
      <c r="AP188" s="559">
        <f>AO188/$E$6</f>
        <v>0</v>
      </c>
      <c r="AQ188" s="559">
        <f>AO188/($E$7/100)</f>
        <v>0</v>
      </c>
      <c r="AR188" s="156"/>
    </row>
    <row r="189" spans="1:44" ht="15.75" hidden="1">
      <c r="A189" s="21"/>
      <c r="B189" s="28"/>
      <c r="C189" s="28"/>
      <c r="D189" s="28"/>
      <c r="E189" s="134"/>
      <c r="F189" s="134"/>
      <c r="G189" s="28"/>
      <c r="H189" s="90"/>
      <c r="J189" s="182"/>
      <c r="L189" s="28"/>
      <c r="M189" s="28"/>
      <c r="N189" s="144"/>
    </row>
    <row r="190" spans="1:44" ht="15" hidden="1">
      <c r="B190" s="17">
        <v>23</v>
      </c>
      <c r="C190" s="18" t="s">
        <v>226</v>
      </c>
      <c r="D190" s="18" t="s">
        <v>65</v>
      </c>
      <c r="E190" s="18" t="s">
        <v>4</v>
      </c>
      <c r="F190" s="18" t="s">
        <v>70</v>
      </c>
      <c r="G190" s="68" t="s">
        <v>67</v>
      </c>
      <c r="H190" s="91"/>
      <c r="J190" s="184" t="s">
        <v>86</v>
      </c>
      <c r="L190" s="69" t="s">
        <v>278</v>
      </c>
      <c r="M190" s="69" t="s">
        <v>279</v>
      </c>
      <c r="N190" s="138" t="s">
        <v>83</v>
      </c>
      <c r="Q190" s="69" t="s">
        <v>67</v>
      </c>
      <c r="R190" s="69" t="s">
        <v>278</v>
      </c>
      <c r="S190" s="69" t="s">
        <v>279</v>
      </c>
      <c r="T190" s="138" t="s">
        <v>83</v>
      </c>
      <c r="W190" s="69" t="s">
        <v>67</v>
      </c>
      <c r="X190" s="69" t="s">
        <v>278</v>
      </c>
      <c r="Y190" s="69" t="s">
        <v>279</v>
      </c>
      <c r="Z190" s="138" t="s">
        <v>83</v>
      </c>
      <c r="AC190" s="69" t="s">
        <v>67</v>
      </c>
      <c r="AD190" s="69" t="s">
        <v>278</v>
      </c>
      <c r="AE190" s="69" t="s">
        <v>279</v>
      </c>
      <c r="AF190" s="138" t="s">
        <v>83</v>
      </c>
      <c r="AI190" s="69" t="s">
        <v>67</v>
      </c>
      <c r="AJ190" s="69" t="s">
        <v>278</v>
      </c>
      <c r="AK190" s="69" t="s">
        <v>279</v>
      </c>
      <c r="AL190" s="138" t="s">
        <v>83</v>
      </c>
      <c r="AO190" s="69" t="s">
        <v>67</v>
      </c>
      <c r="AP190" s="69" t="s">
        <v>278</v>
      </c>
      <c r="AQ190" s="69" t="s">
        <v>279</v>
      </c>
      <c r="AR190" s="138" t="s">
        <v>83</v>
      </c>
    </row>
    <row r="191" spans="1:44" ht="15.75" hidden="1">
      <c r="A191" s="21"/>
      <c r="B191" s="22"/>
      <c r="C191" s="30" t="s">
        <v>21</v>
      </c>
      <c r="D191" s="30">
        <v>565.99166586640285</v>
      </c>
      <c r="E191" s="132"/>
      <c r="F191" s="86">
        <v>17.279387531817147</v>
      </c>
      <c r="G191" s="72">
        <v>9779.9893342843388</v>
      </c>
      <c r="H191" s="82"/>
      <c r="J191" s="186">
        <f t="shared" ref="J191:J192" si="208">IF($D$2=$L$2,L191,IF($D$2=$M$2,M191,IF($D$2=$N$2,N191,IF($D$2=$R$2,R191,IF($D$2=$S$2,S191,IF($D$2=$T$2,T191,IF($D$2=$X$2,X191,IF($D$2=$Y$2,Y191,IF($D$2=$Z$2,Z191,IF($D$2=$AD$2,AD191,IF($D$2=$AE$2,AE191,IF($D$2=$AF$2,AF191,IF($D$2=$AJ$2,AJ191,IF($D$2=$AK$2,AK191,IF($D$2=$AL$2,AL191,IF($D$2=$AP$2,AP191,IF($D$2=$AQ$2,AQ191,IF($D$2=$AR$2,AR191))))))))))))))))))</f>
        <v>13.311729198173502</v>
      </c>
      <c r="L191" s="74">
        <v>12.125024657251057</v>
      </c>
      <c r="M191" s="74">
        <v>3.2528954915957424</v>
      </c>
      <c r="N191" s="140"/>
      <c r="P191" s="154" t="s">
        <v>326</v>
      </c>
      <c r="Q191" s="137">
        <f>G191*P185</f>
        <v>10262.746254614969</v>
      </c>
      <c r="R191" s="544">
        <f>Q191/$E$6</f>
        <v>12.72353651267281</v>
      </c>
      <c r="S191" s="544">
        <f>Q191/($E$7/100)</f>
        <v>3.413463949904298</v>
      </c>
      <c r="V191" s="154" t="s">
        <v>229</v>
      </c>
      <c r="W191" s="137">
        <f>G191*V185</f>
        <v>10737.179779767488</v>
      </c>
      <c r="X191" s="544">
        <f>W191/$E$6</f>
        <v>13.311729198173502</v>
      </c>
      <c r="Y191" s="544">
        <f>W191/($E$7/100)</f>
        <v>3.571263986517879</v>
      </c>
      <c r="AB191" s="154" t="s">
        <v>232</v>
      </c>
      <c r="AC191" s="137">
        <f>W191*AB185</f>
        <v>11128.379353138862</v>
      </c>
      <c r="AD191" s="544">
        <f>AC191/$E$6</f>
        <v>13.796730184463545</v>
      </c>
      <c r="AE191" s="544">
        <f>AC191/($E$7/100)</f>
        <v>3.7013798061817091</v>
      </c>
      <c r="AH191" s="154" t="s">
        <v>231</v>
      </c>
      <c r="AI191" s="137">
        <f>AC191*AH185</f>
        <v>0</v>
      </c>
      <c r="AJ191" s="544">
        <f>AI191/$E$6</f>
        <v>0</v>
      </c>
      <c r="AK191" s="544">
        <f>AI191/($E$7/100)</f>
        <v>0</v>
      </c>
      <c r="AN191" s="154" t="s">
        <v>230</v>
      </c>
      <c r="AO191" s="137">
        <f>AI191*AN185</f>
        <v>0</v>
      </c>
      <c r="AP191" s="544">
        <f>AO191/$E$6</f>
        <v>0</v>
      </c>
      <c r="AQ191" s="544">
        <f>AO191/($E$7/100)</f>
        <v>0</v>
      </c>
    </row>
    <row r="192" spans="1:44" ht="15.75" hidden="1">
      <c r="B192" s="26"/>
      <c r="C192" s="27" t="s">
        <v>6</v>
      </c>
      <c r="D192" s="27"/>
      <c r="E192" s="133"/>
      <c r="F192" s="133"/>
      <c r="G192" s="77">
        <v>9779.9893342843388</v>
      </c>
      <c r="H192" s="89"/>
      <c r="J192" s="187">
        <f t="shared" si="208"/>
        <v>13.311729198173502</v>
      </c>
      <c r="L192" s="79">
        <v>12.125024657251057</v>
      </c>
      <c r="M192" s="79">
        <v>3.2528954915957424</v>
      </c>
      <c r="N192" s="141"/>
      <c r="P192" s="156"/>
      <c r="Q192" s="157">
        <f>Q191</f>
        <v>10262.746254614969</v>
      </c>
      <c r="R192" s="559">
        <f>Q192/$E$6</f>
        <v>12.72353651267281</v>
      </c>
      <c r="S192" s="559">
        <f>Q192/($E$7/100)</f>
        <v>3.413463949904298</v>
      </c>
      <c r="T192" s="156"/>
      <c r="V192" s="156"/>
      <c r="W192" s="157">
        <f>W191</f>
        <v>10737.179779767488</v>
      </c>
      <c r="X192" s="559">
        <f>W192/$E$6</f>
        <v>13.311729198173502</v>
      </c>
      <c r="Y192" s="559">
        <f>W192/($E$7/100)</f>
        <v>3.571263986517879</v>
      </c>
      <c r="Z192" s="156"/>
      <c r="AB192" s="156"/>
      <c r="AC192" s="157">
        <f>AC191</f>
        <v>11128.379353138862</v>
      </c>
      <c r="AD192" s="559">
        <f>AC192/$E$6</f>
        <v>13.796730184463545</v>
      </c>
      <c r="AE192" s="559">
        <f>AC192/($E$7/100)</f>
        <v>3.7013798061817091</v>
      </c>
      <c r="AF192" s="156"/>
      <c r="AH192" s="156"/>
      <c r="AI192" s="157">
        <f>AI191</f>
        <v>0</v>
      </c>
      <c r="AJ192" s="559">
        <f>AI192/$E$6</f>
        <v>0</v>
      </c>
      <c r="AK192" s="559">
        <f>AI192/($E$7/100)</f>
        <v>0</v>
      </c>
      <c r="AL192" s="156"/>
      <c r="AN192" s="156"/>
      <c r="AO192" s="157">
        <f>AO191</f>
        <v>0</v>
      </c>
      <c r="AP192" s="559">
        <f>AO192/$E$6</f>
        <v>0</v>
      </c>
      <c r="AQ192" s="559">
        <f>AO192/($E$7/100)</f>
        <v>0</v>
      </c>
      <c r="AR192" s="156"/>
    </row>
    <row r="193" spans="1:44" ht="15.75" hidden="1">
      <c r="A193" s="21"/>
      <c r="B193" s="28"/>
      <c r="C193" s="28"/>
      <c r="D193" s="28"/>
      <c r="E193" s="134"/>
      <c r="F193" s="134"/>
      <c r="G193" s="28"/>
      <c r="H193" s="90"/>
      <c r="J193" s="182"/>
      <c r="L193" s="28"/>
      <c r="M193" s="28"/>
      <c r="N193" s="144"/>
    </row>
    <row r="194" spans="1:44" ht="15" hidden="1">
      <c r="B194" s="17">
        <v>24</v>
      </c>
      <c r="C194" s="18" t="s">
        <v>62</v>
      </c>
      <c r="D194" s="18" t="s">
        <v>73</v>
      </c>
      <c r="E194" s="18"/>
      <c r="F194" s="18" t="s">
        <v>71</v>
      </c>
      <c r="G194" s="68" t="s">
        <v>67</v>
      </c>
      <c r="H194" s="91"/>
      <c r="J194" s="184" t="s">
        <v>86</v>
      </c>
      <c r="L194" s="69" t="s">
        <v>278</v>
      </c>
      <c r="M194" s="69" t="s">
        <v>279</v>
      </c>
      <c r="N194" s="138" t="s">
        <v>83</v>
      </c>
      <c r="Q194" s="69" t="s">
        <v>67</v>
      </c>
      <c r="R194" s="69" t="s">
        <v>278</v>
      </c>
      <c r="S194" s="69" t="s">
        <v>279</v>
      </c>
      <c r="T194" s="138" t="s">
        <v>83</v>
      </c>
      <c r="W194" s="69" t="s">
        <v>67</v>
      </c>
      <c r="X194" s="69" t="s">
        <v>278</v>
      </c>
      <c r="Y194" s="69" t="s">
        <v>279</v>
      </c>
      <c r="Z194" s="138" t="s">
        <v>83</v>
      </c>
      <c r="AC194" s="69" t="s">
        <v>67</v>
      </c>
      <c r="AD194" s="69" t="s">
        <v>278</v>
      </c>
      <c r="AE194" s="69" t="s">
        <v>279</v>
      </c>
      <c r="AF194" s="138" t="s">
        <v>83</v>
      </c>
      <c r="AI194" s="69" t="s">
        <v>67</v>
      </c>
      <c r="AJ194" s="69" t="s">
        <v>278</v>
      </c>
      <c r="AK194" s="69" t="s">
        <v>279</v>
      </c>
      <c r="AL194" s="138" t="s">
        <v>83</v>
      </c>
      <c r="AO194" s="69" t="s">
        <v>67</v>
      </c>
      <c r="AP194" s="69" t="s">
        <v>278</v>
      </c>
      <c r="AQ194" s="69" t="s">
        <v>279</v>
      </c>
      <c r="AR194" s="138" t="s">
        <v>83</v>
      </c>
    </row>
    <row r="195" spans="1:44" ht="15.75" hidden="1">
      <c r="B195" s="22"/>
      <c r="C195" s="30" t="s">
        <v>63</v>
      </c>
      <c r="D195" s="30">
        <v>556547.399475871</v>
      </c>
      <c r="E195" s="80"/>
      <c r="F195" s="135">
        <v>2.9100000000000004E-2</v>
      </c>
      <c r="G195" s="92">
        <v>16195.529324747849</v>
      </c>
      <c r="H195" s="82"/>
      <c r="J195" s="186">
        <f t="shared" ref="J195:J196" si="209">IF($D$2=$L$2,L195,IF($D$2=$M$2,M195,IF($D$2=$N$2,N195,IF($D$2=$R$2,R195,IF($D$2=$S$2,S195,IF($D$2=$T$2,T195,IF($D$2=$X$2,X195,IF($D$2=$Y$2,Y195,IF($D$2=$Z$2,Z195,IF($D$2=$AD$2,AD195,IF($D$2=$AE$2,AE195,IF($D$2=$AF$2,AF195,IF($D$2=$AJ$2,AJ195,IF($D$2=$AK$2,AK195,IF($D$2=$AL$2,AL195,IF($D$2=$AP$2,AP195,IF($D$2=$AQ$2,AQ195,IF($D$2=$AR$2,AR195))))))))))))))))))</f>
        <v>10.418935617911098</v>
      </c>
      <c r="L195" s="74">
        <v>20.078875925908147</v>
      </c>
      <c r="M195" s="74">
        <v>5.386750693050117</v>
      </c>
      <c r="N195" s="140"/>
      <c r="P195" s="558">
        <v>2.5600000000000001E-2</v>
      </c>
      <c r="Q195" s="137">
        <f>$D195*P195</f>
        <v>14247.613426582298</v>
      </c>
      <c r="R195" s="544">
        <f>Q195/$E$6</f>
        <v>17.663890848908881</v>
      </c>
      <c r="S195" s="544">
        <f>Q195/($E$7/100)</f>
        <v>4.738859716222783</v>
      </c>
      <c r="V195" s="558">
        <v>1.5100000000000001E-2</v>
      </c>
      <c r="W195" s="137">
        <f>$D195*V195</f>
        <v>8403.8657320856528</v>
      </c>
      <c r="X195" s="544">
        <f>W195/$E$6</f>
        <v>10.418935617911098</v>
      </c>
      <c r="Y195" s="544">
        <f>W195/($E$7/100)</f>
        <v>2.7951867857407819</v>
      </c>
      <c r="AB195" s="558">
        <v>1.95E-2</v>
      </c>
      <c r="AC195" s="137">
        <f>$D195*AB195</f>
        <v>10852.674289779485</v>
      </c>
      <c r="AD195" s="544">
        <f>AC195/$E$6</f>
        <v>13.45491685756731</v>
      </c>
      <c r="AE195" s="544">
        <f>AC195/($E$7/100)</f>
        <v>3.6096782994665726</v>
      </c>
      <c r="AH195" s="558"/>
      <c r="AI195" s="137">
        <f>$D195*AH195</f>
        <v>0</v>
      </c>
      <c r="AJ195" s="544">
        <f>AI195/$E$6</f>
        <v>0</v>
      </c>
      <c r="AK195" s="544">
        <f>AI195/($E$7/100)</f>
        <v>0</v>
      </c>
      <c r="AN195" s="558"/>
      <c r="AO195" s="137">
        <f>$D195*AN195</f>
        <v>0</v>
      </c>
      <c r="AP195" s="544">
        <f>AO195/$E$6</f>
        <v>0</v>
      </c>
      <c r="AQ195" s="544">
        <f>AO195/($E$7/100)</f>
        <v>0</v>
      </c>
    </row>
    <row r="196" spans="1:44" ht="15.75" hidden="1">
      <c r="B196" s="26"/>
      <c r="C196" s="27" t="s">
        <v>6</v>
      </c>
      <c r="D196" s="27"/>
      <c r="E196" s="133"/>
      <c r="F196" s="133"/>
      <c r="G196" s="77">
        <v>16195.529324747849</v>
      </c>
      <c r="H196" s="89"/>
      <c r="J196" s="187">
        <f t="shared" si="209"/>
        <v>10.418935617911098</v>
      </c>
      <c r="L196" s="79">
        <v>20.078875925908147</v>
      </c>
      <c r="M196" s="79">
        <v>5.386750693050117</v>
      </c>
      <c r="N196" s="141"/>
      <c r="P196" s="156"/>
      <c r="Q196" s="157">
        <f>Q195</f>
        <v>14247.613426582298</v>
      </c>
      <c r="R196" s="559">
        <f>Q196/$E$6</f>
        <v>17.663890848908881</v>
      </c>
      <c r="S196" s="559">
        <f>Q196/($E$7/100)</f>
        <v>4.738859716222783</v>
      </c>
      <c r="T196" s="156"/>
      <c r="V196" s="156"/>
      <c r="W196" s="157">
        <f>W195</f>
        <v>8403.8657320856528</v>
      </c>
      <c r="X196" s="559">
        <f>W196/$E$6</f>
        <v>10.418935617911098</v>
      </c>
      <c r="Y196" s="559">
        <f>W196/($E$7/100)</f>
        <v>2.7951867857407819</v>
      </c>
      <c r="Z196" s="156"/>
      <c r="AB196" s="156"/>
      <c r="AC196" s="157">
        <f>AC195</f>
        <v>10852.674289779485</v>
      </c>
      <c r="AD196" s="559">
        <f>AC196/$E$6</f>
        <v>13.45491685756731</v>
      </c>
      <c r="AE196" s="559">
        <f>AC196/($E$7/100)</f>
        <v>3.6096782994665726</v>
      </c>
      <c r="AF196" s="156"/>
      <c r="AH196" s="156"/>
      <c r="AI196" s="157">
        <f>AI195</f>
        <v>0</v>
      </c>
      <c r="AJ196" s="559">
        <f>AI196/$E$6</f>
        <v>0</v>
      </c>
      <c r="AK196" s="559">
        <f>AI196/($E$7/100)</f>
        <v>0</v>
      </c>
      <c r="AL196" s="156"/>
      <c r="AN196" s="156"/>
      <c r="AO196" s="157">
        <f>AO195</f>
        <v>0</v>
      </c>
      <c r="AP196" s="559">
        <f>AO196/$E$6</f>
        <v>0</v>
      </c>
      <c r="AQ196" s="559">
        <f>AO196/($E$7/100)</f>
        <v>0</v>
      </c>
      <c r="AR196" s="156"/>
    </row>
    <row r="197" spans="1:44" ht="15.75" hidden="1">
      <c r="B197" s="28"/>
      <c r="C197" s="28"/>
      <c r="D197" s="28"/>
      <c r="E197" s="136"/>
      <c r="F197" s="136"/>
      <c r="G197" s="28"/>
      <c r="H197" s="90"/>
      <c r="J197" s="182"/>
      <c r="L197" s="28"/>
      <c r="M197" s="28"/>
      <c r="N197" s="144"/>
    </row>
    <row r="198" spans="1:44" ht="15" hidden="1">
      <c r="B198" s="17">
        <v>26</v>
      </c>
      <c r="C198" s="18" t="s">
        <v>64</v>
      </c>
      <c r="D198" s="18" t="s">
        <v>65</v>
      </c>
      <c r="E198" s="18"/>
      <c r="F198" s="18" t="s">
        <v>66</v>
      </c>
      <c r="G198" s="68" t="s">
        <v>67</v>
      </c>
      <c r="H198" s="91"/>
      <c r="J198" s="184" t="s">
        <v>86</v>
      </c>
      <c r="L198" s="69" t="s">
        <v>278</v>
      </c>
      <c r="M198" s="69" t="s">
        <v>279</v>
      </c>
      <c r="N198" s="138" t="s">
        <v>83</v>
      </c>
      <c r="Q198" s="69" t="s">
        <v>67</v>
      </c>
      <c r="R198" s="69" t="s">
        <v>278</v>
      </c>
      <c r="S198" s="69" t="s">
        <v>279</v>
      </c>
      <c r="T198" s="138" t="s">
        <v>83</v>
      </c>
      <c r="W198" s="69" t="s">
        <v>67</v>
      </c>
      <c r="X198" s="69" t="s">
        <v>278</v>
      </c>
      <c r="Y198" s="69" t="s">
        <v>279</v>
      </c>
      <c r="Z198" s="138" t="s">
        <v>83</v>
      </c>
      <c r="AC198" s="69" t="s">
        <v>67</v>
      </c>
      <c r="AD198" s="69" t="s">
        <v>278</v>
      </c>
      <c r="AE198" s="69" t="s">
        <v>279</v>
      </c>
      <c r="AF198" s="138" t="s">
        <v>83</v>
      </c>
      <c r="AI198" s="69" t="s">
        <v>67</v>
      </c>
      <c r="AJ198" s="69" t="s">
        <v>278</v>
      </c>
      <c r="AK198" s="69" t="s">
        <v>279</v>
      </c>
      <c r="AL198" s="138" t="s">
        <v>83</v>
      </c>
      <c r="AO198" s="69" t="s">
        <v>67</v>
      </c>
      <c r="AP198" s="69" t="s">
        <v>278</v>
      </c>
      <c r="AQ198" s="69" t="s">
        <v>279</v>
      </c>
      <c r="AR198" s="138" t="s">
        <v>83</v>
      </c>
    </row>
    <row r="199" spans="1:44" ht="15.75" hidden="1">
      <c r="B199" s="22"/>
      <c r="C199" s="570" t="s">
        <v>308</v>
      </c>
      <c r="D199" s="30">
        <v>732.68304623486222</v>
      </c>
      <c r="E199" s="105"/>
      <c r="F199" s="106">
        <v>369.09309481111416</v>
      </c>
      <c r="G199" s="72">
        <v>670382.03540122276</v>
      </c>
      <c r="H199" s="82"/>
      <c r="J199" s="192">
        <f t="shared" ref="J199:J209" si="210">IF($D$2=$L$2,L199,IF($D$2=$M$2,M199,IF($D$2=$N$2,N199,IF($D$2=$R$2,R199,IF($D$2=$S$2,S199,IF($D$2=$T$2,T199,IF($D$2=$X$2,X199,IF($D$2=$Y$2,Y199,IF($D$2=$Z$2,Z199,IF($D$2=$AD$2,AD199,IF($D$2=$AE$2,AE199,IF($D$2=$AF$2,AF199,IF($D$2=$AJ$2,AJ199,IF($D$2=$AK$2,AK199,IF($D$2=$AL$2,AL199,IF($D$2=$AP$2,AP199,IF($D$2=$AQ$2,AQ199,IF($D$2=$AR$2,AR199))))))))))))))))))</f>
        <v>777.93164432857384</v>
      </c>
      <c r="L199" s="74">
        <v>831.12551876957457</v>
      </c>
      <c r="M199" s="74">
        <v>222.97393443558275</v>
      </c>
      <c r="N199" s="140"/>
      <c r="P199" s="158">
        <v>4.6877000000000004</v>
      </c>
      <c r="Q199" s="137">
        <f>$E7/2.2046*P199</f>
        <v>639290.53971175768</v>
      </c>
      <c r="R199" s="544">
        <f>Q199/$E$6</f>
        <v>792.57893768650172</v>
      </c>
      <c r="S199" s="544">
        <f>Q199/($E$7/100)</f>
        <v>212.63267712963804</v>
      </c>
      <c r="W199" s="597">
        <v>627476.1</v>
      </c>
      <c r="X199" s="544">
        <f>W199/$E$6</f>
        <v>777.93164432857384</v>
      </c>
      <c r="Y199" s="544">
        <f>W199/($E$7/100)</f>
        <v>208.70310866483575</v>
      </c>
      <c r="AB199" s="158"/>
      <c r="AC199" s="137">
        <v>666115.30000000005</v>
      </c>
      <c r="AD199" s="544">
        <f>AC199/$E$6</f>
        <v>825.83571014325696</v>
      </c>
      <c r="AE199" s="544">
        <f>AC199/($E$7/100)</f>
        <v>221.55478724880467</v>
      </c>
      <c r="AH199" s="158"/>
      <c r="AI199" s="137">
        <f>$D199*AH199</f>
        <v>0</v>
      </c>
      <c r="AJ199" s="544">
        <f>AI199/$E$6</f>
        <v>0</v>
      </c>
      <c r="AK199" s="544">
        <f>AI199/($E$7/100)</f>
        <v>0</v>
      </c>
      <c r="AN199" s="158"/>
      <c r="AO199" s="137">
        <f>$D199*AN199</f>
        <v>0</v>
      </c>
      <c r="AP199" s="544">
        <f>AO199/$E$6</f>
        <v>0</v>
      </c>
      <c r="AQ199" s="544">
        <f>AO199/($E$7/100)</f>
        <v>0</v>
      </c>
    </row>
    <row r="200" spans="1:44" ht="15.75" hidden="1">
      <c r="B200" s="24"/>
      <c r="C200" s="571" t="s">
        <v>309</v>
      </c>
      <c r="D200" s="25">
        <v>73.912371980280952</v>
      </c>
      <c r="E200" s="107"/>
      <c r="F200" s="108">
        <v>408.95232131578734</v>
      </c>
      <c r="G200" s="73">
        <v>74527.761500846173</v>
      </c>
      <c r="H200" s="82"/>
      <c r="J200" s="186">
        <f t="shared" si="210"/>
        <v>81.419492991073682</v>
      </c>
      <c r="L200" s="74">
        <v>92.397947989542615</v>
      </c>
      <c r="M200" s="74">
        <v>24.788474823277035</v>
      </c>
      <c r="N200" s="140"/>
      <c r="Q200" s="137"/>
      <c r="R200" s="544"/>
      <c r="S200" s="544"/>
      <c r="W200" s="597">
        <v>65672.59</v>
      </c>
      <c r="X200" s="544">
        <f>W200/$E$6</f>
        <v>81.419492991073682</v>
      </c>
      <c r="Y200" s="544">
        <f>W200/($E$7/100)</f>
        <v>21.843180460691979</v>
      </c>
      <c r="AB200" s="158"/>
      <c r="AC200" s="137">
        <v>63640.87</v>
      </c>
      <c r="AD200" s="544"/>
      <c r="AE200" s="544"/>
      <c r="AH200" s="158"/>
      <c r="AI200" s="137"/>
      <c r="AJ200" s="544"/>
      <c r="AK200" s="544"/>
      <c r="AN200" s="158"/>
      <c r="AO200" s="137"/>
      <c r="AP200" s="544"/>
      <c r="AQ200" s="544"/>
    </row>
    <row r="201" spans="1:44" ht="15.75" hidden="1">
      <c r="B201" s="24"/>
      <c r="C201" s="571" t="s">
        <v>310</v>
      </c>
      <c r="D201" s="25"/>
      <c r="E201" s="107"/>
      <c r="F201" s="108"/>
      <c r="G201" s="73">
        <v>-984.64045072193107</v>
      </c>
      <c r="H201" s="82"/>
      <c r="J201" s="186">
        <f t="shared" si="210"/>
        <v>0</v>
      </c>
      <c r="L201" s="74">
        <v>-1.220736478891451</v>
      </c>
      <c r="M201" s="74">
        <v>-0.32749856605345135</v>
      </c>
      <c r="N201" s="140"/>
      <c r="Q201" s="137"/>
      <c r="R201" s="544"/>
      <c r="S201" s="544"/>
      <c r="W201" s="137"/>
      <c r="X201" s="544"/>
      <c r="Y201" s="544"/>
      <c r="AB201" s="158"/>
      <c r="AC201" s="137"/>
      <c r="AD201" s="544"/>
      <c r="AE201" s="544"/>
      <c r="AH201" s="158"/>
      <c r="AI201" s="137"/>
      <c r="AJ201" s="544"/>
      <c r="AK201" s="544"/>
      <c r="AN201" s="158"/>
      <c r="AO201" s="137"/>
      <c r="AP201" s="544"/>
      <c r="AQ201" s="544"/>
    </row>
    <row r="202" spans="1:44" ht="15.75" hidden="1">
      <c r="B202" s="24"/>
      <c r="C202" s="571" t="s">
        <v>311</v>
      </c>
      <c r="D202" s="25"/>
      <c r="E202" s="107"/>
      <c r="F202" s="108"/>
      <c r="G202" s="73">
        <v>-5816.1124293129715</v>
      </c>
      <c r="H202" s="82"/>
      <c r="J202" s="186">
        <f t="shared" si="210"/>
        <v>0</v>
      </c>
      <c r="L202" s="74">
        <v>-7.2106936116535696</v>
      </c>
      <c r="M202" s="74">
        <v>-1.9344812405473404</v>
      </c>
      <c r="N202" s="140"/>
      <c r="Q202" s="137"/>
      <c r="R202" s="544"/>
      <c r="S202" s="544"/>
      <c r="W202" s="137"/>
      <c r="X202" s="544"/>
      <c r="Y202" s="544"/>
      <c r="AB202" s="158"/>
      <c r="AC202" s="137"/>
      <c r="AD202" s="544"/>
      <c r="AE202" s="544"/>
      <c r="AH202" s="158"/>
      <c r="AI202" s="137"/>
      <c r="AJ202" s="544"/>
      <c r="AK202" s="544"/>
      <c r="AN202" s="158"/>
      <c r="AO202" s="137"/>
      <c r="AP202" s="544"/>
      <c r="AQ202" s="544"/>
    </row>
    <row r="203" spans="1:44" ht="15.75" hidden="1">
      <c r="B203" s="26"/>
      <c r="C203" s="27" t="s">
        <v>6</v>
      </c>
      <c r="D203" s="27">
        <v>806.59541821514313</v>
      </c>
      <c r="E203" s="133"/>
      <c r="F203" s="133"/>
      <c r="G203" s="77">
        <v>738109.04402203392</v>
      </c>
      <c r="H203" s="89"/>
      <c r="J203" s="187">
        <f t="shared" si="210"/>
        <v>859.35113731964748</v>
      </c>
      <c r="L203" s="79">
        <v>915.09203666857206</v>
      </c>
      <c r="M203" s="79">
        <v>245.50042945225897</v>
      </c>
      <c r="N203" s="203">
        <f>G203/$N$6</f>
        <v>0.88673098386696581</v>
      </c>
      <c r="P203" s="156"/>
      <c r="Q203" s="157">
        <f>SUM(Q199:Q199)</f>
        <v>639290.53971175768</v>
      </c>
      <c r="R203" s="559">
        <f>Q203/$E$6</f>
        <v>792.57893768650172</v>
      </c>
      <c r="S203" s="559">
        <f>Q203/($E$7/100)</f>
        <v>212.63267712963804</v>
      </c>
      <c r="T203" s="156"/>
      <c r="V203" s="156"/>
      <c r="W203" s="157">
        <f>SUM(W199:W200)</f>
        <v>693148.69</v>
      </c>
      <c r="X203" s="559">
        <f>W203/$E$6</f>
        <v>859.35113731964748</v>
      </c>
      <c r="Y203" s="559">
        <f>W203/($E$7/100)</f>
        <v>230.54628912552772</v>
      </c>
      <c r="Z203" s="156"/>
      <c r="AB203" s="156"/>
      <c r="AC203" s="157">
        <f>SUM(AC199:AC199)</f>
        <v>666115.30000000005</v>
      </c>
      <c r="AD203" s="559">
        <f>AC203/$E$6</f>
        <v>825.83571014325696</v>
      </c>
      <c r="AE203" s="559">
        <f>AC203/($E$7/100)</f>
        <v>221.55478724880467</v>
      </c>
      <c r="AF203" s="156"/>
      <c r="AH203" s="156"/>
      <c r="AI203" s="157">
        <f>SUM(AI199:AI199)</f>
        <v>0</v>
      </c>
      <c r="AJ203" s="559">
        <f>AI203/$E$6</f>
        <v>0</v>
      </c>
      <c r="AK203" s="559">
        <f>AI203/($E$7/100)</f>
        <v>0</v>
      </c>
      <c r="AL203" s="156"/>
      <c r="AN203" s="156"/>
      <c r="AO203" s="157">
        <f>SUM(AO199:AO199)</f>
        <v>0</v>
      </c>
      <c r="AP203" s="559">
        <f>AO203/$E$6</f>
        <v>0</v>
      </c>
      <c r="AQ203" s="559">
        <f>AO203/($E$7/100)</f>
        <v>0</v>
      </c>
      <c r="AR203" s="156"/>
    </row>
    <row r="204" spans="1:44" ht="15.75" hidden="1">
      <c r="C204" s="41"/>
      <c r="D204" s="41"/>
    </row>
    <row r="205" spans="1:44" ht="15.75" hidden="1">
      <c r="C205" s="41" t="s">
        <v>315</v>
      </c>
      <c r="D205" s="41"/>
      <c r="J205" s="192">
        <f t="shared" si="210"/>
        <v>884.57150496808697</v>
      </c>
      <c r="L205" s="544">
        <f>L203+L150</f>
        <v>939.01867839783165</v>
      </c>
      <c r="M205" s="544">
        <f>M203+M150</f>
        <v>251.91945681181079</v>
      </c>
      <c r="N205" s="345">
        <f>N203+N150</f>
        <v>0.90991607750897607</v>
      </c>
      <c r="R205" s="544">
        <f>R203+R150</f>
        <v>817.46173557054055</v>
      </c>
      <c r="S205" s="544">
        <f>S203+S150</f>
        <v>219.30822157951042</v>
      </c>
      <c r="T205" s="345">
        <f>T203+T150</f>
        <v>0</v>
      </c>
      <c r="X205" s="544">
        <f>X203+X150</f>
        <v>884.57150496808697</v>
      </c>
      <c r="Y205" s="544">
        <f>Y203+Y150</f>
        <v>237.31239662131205</v>
      </c>
      <c r="Z205" s="345">
        <f>Z203+Z150</f>
        <v>0</v>
      </c>
      <c r="AD205" s="544">
        <f>AD203+AD150</f>
        <v>852.81971947962768</v>
      </c>
      <c r="AE205" s="544">
        <f>AE203+AE150</f>
        <v>228.79404364594245</v>
      </c>
      <c r="AF205" s="345">
        <f>AF203+AF150</f>
        <v>0</v>
      </c>
      <c r="AJ205" s="544">
        <f>AJ203+AJ150</f>
        <v>0</v>
      </c>
      <c r="AK205" s="544">
        <f>AK203+AK150</f>
        <v>0</v>
      </c>
      <c r="AL205" s="345">
        <f>AL203+AL150</f>
        <v>0</v>
      </c>
      <c r="AP205" s="544">
        <f>AP203+AP150</f>
        <v>0</v>
      </c>
      <c r="AQ205" s="544">
        <f>AQ203+AQ150</f>
        <v>0</v>
      </c>
      <c r="AR205" s="345">
        <f>AR203+AR150</f>
        <v>0</v>
      </c>
    </row>
    <row r="206" spans="1:44" ht="15.75" hidden="1">
      <c r="C206" s="41" t="s">
        <v>15</v>
      </c>
      <c r="D206" s="41"/>
      <c r="J206" s="192">
        <f t="shared" si="210"/>
        <v>90.674456307776538</v>
      </c>
      <c r="L206" s="544">
        <f>L175+L166+L162</f>
        <v>91.687303775187431</v>
      </c>
      <c r="M206" s="544">
        <f>M175+M166+M162</f>
        <v>24.597823552343559</v>
      </c>
      <c r="N206" s="345">
        <f>N175+N166+N162</f>
        <v>1.1437747083984703E-2</v>
      </c>
      <c r="R206" s="544">
        <f>R175+R166+R162</f>
        <v>94.69305505279236</v>
      </c>
      <c r="S206" s="544">
        <f>S175+S166+S162</f>
        <v>25.404204987117147</v>
      </c>
      <c r="T206" s="345">
        <f>T175+T166+T162</f>
        <v>0</v>
      </c>
      <c r="X206" s="544">
        <f>X175+X166+X162</f>
        <v>90.674456307776538</v>
      </c>
      <c r="Y206" s="544">
        <f>Y175+Y166+Y162</f>
        <v>24.326097345300777</v>
      </c>
      <c r="Z206" s="345">
        <f>Z175+Z166+Z162</f>
        <v>0</v>
      </c>
      <c r="AD206" s="544">
        <f>AD175+AD166+AD162</f>
        <v>90.083225923297434</v>
      </c>
      <c r="AE206" s="544">
        <f>AE175+AE166+AE162</f>
        <v>24.167482356339384</v>
      </c>
      <c r="AF206" s="345">
        <f>AF175+AF166+AF162</f>
        <v>0</v>
      </c>
      <c r="AJ206" s="544" t="e">
        <f>AJ175+AJ166+AJ162</f>
        <v>#REF!</v>
      </c>
      <c r="AK206" s="544" t="e">
        <f>AK175+AK166+AK162</f>
        <v>#REF!</v>
      </c>
      <c r="AL206" s="345">
        <f>AL175+AL166+AL162</f>
        <v>0</v>
      </c>
      <c r="AP206" s="544" t="e">
        <f>AP175+AP166+AP162</f>
        <v>#REF!</v>
      </c>
      <c r="AQ206" s="544" t="e">
        <f>AQ175+AQ166+AQ162</f>
        <v>#REF!</v>
      </c>
      <c r="AR206" s="345">
        <f>AR175+AR166+AR162</f>
        <v>0</v>
      </c>
    </row>
    <row r="207" spans="1:44" ht="15.75" hidden="1">
      <c r="C207" s="41"/>
      <c r="D207" s="41"/>
    </row>
    <row r="208" spans="1:44" ht="15.75" hidden="1">
      <c r="C208" s="560" t="s">
        <v>351</v>
      </c>
      <c r="D208" s="41"/>
      <c r="F208" s="594">
        <v>0.01</v>
      </c>
      <c r="G208" s="544">
        <f>L205+L206</f>
        <v>1030.705982173019</v>
      </c>
      <c r="J208" s="192">
        <f>IF($D$2=$L$2,L208,IF($D$2=$M$2,M208,IF($D$2=$N$2,N208,IF($D$2=$R$2,R208,IF($D$2=$S$2,S208,IF($D$2=$T$2,T208,IF($D$2=$X$2,X208,IF($D$2=$Y$2,Y208,IF($D$2=$Z$2,Z208,IF($D$2=$AD$2,AD208,IF($D$2=$AE$2,AE208,IF($D$2=$AF$2,AF208,IF($D$2=$AJ$2,AJ208,IF($D$2=$AK$2,AK208,IF($D$2=$AL$2,AL208,IF($D$2=$AP$2,AP208,IF($D$2=$AQ$2,AQ208,IF($D$2=$AR$2,AR208))))))))))))))))))</f>
        <v>4.2479943344764495</v>
      </c>
      <c r="L208" s="544">
        <f>F208*(G208-L30-L25-L47)</f>
        <v>7.0420217302464998</v>
      </c>
      <c r="M208" s="544">
        <f>(F208*(G208-L30-L25-L47))*E6/E7*100</f>
        <v>1.8892300333871217</v>
      </c>
      <c r="N208" s="137">
        <f>G208/N6</f>
        <v>1.2382437758377679E-3</v>
      </c>
      <c r="Q208" s="595">
        <f>$F$208*(Q199-Q30-Q25-Q47)</f>
        <v>3666.0890681145884</v>
      </c>
      <c r="R208" s="596">
        <f>Q208/$E$6</f>
        <v>4.5451399615274442</v>
      </c>
      <c r="S208" s="596">
        <f>Q208/($E$7/100)</f>
        <v>1.2193678534651526</v>
      </c>
      <c r="T208" s="57"/>
      <c r="W208" s="595">
        <f>$F$208*(W199-W30-W25-W47)</f>
        <v>3426.4127667925904</v>
      </c>
      <c r="X208" s="596">
        <f>W208/$E$6</f>
        <v>4.2479943344764495</v>
      </c>
      <c r="Y208" s="596">
        <f>W208/($E$7/100)</f>
        <v>1.1396497747061516</v>
      </c>
      <c r="Z208" s="57"/>
      <c r="AC208" s="595">
        <f>$F$208*(AC199-AC30-AC25-AC47)</f>
        <v>3355.9049921854125</v>
      </c>
      <c r="AD208" s="596">
        <f>AC208/$E$6</f>
        <v>4.1605802815139379</v>
      </c>
      <c r="AE208" s="596">
        <f>AC208/($E$7/100)</f>
        <v>1.1161983767237302</v>
      </c>
      <c r="AF208" s="57"/>
      <c r="AI208" s="595">
        <f>$F$208*(AI199-AI30-AI25-AI47)</f>
        <v>0</v>
      </c>
      <c r="AJ208" s="596">
        <f>AI208/$E$6</f>
        <v>0</v>
      </c>
      <c r="AK208" s="596">
        <f>AI208/($E$7/100)</f>
        <v>0</v>
      </c>
      <c r="AL208" s="57"/>
      <c r="AO208" s="595">
        <f>$F$208*(AO199-AO30-AO25-AO47)</f>
        <v>0</v>
      </c>
      <c r="AP208" s="596">
        <f>AO208/$E$6</f>
        <v>0</v>
      </c>
      <c r="AQ208" s="596">
        <f>AO208/($E$7/100)</f>
        <v>0</v>
      </c>
      <c r="AR208" s="57"/>
    </row>
    <row r="209" spans="1:44" ht="15.75" hidden="1">
      <c r="C209" s="560" t="s">
        <v>330</v>
      </c>
      <c r="D209" s="41"/>
      <c r="F209" s="158">
        <v>0</v>
      </c>
      <c r="G209" s="584">
        <f>E6*F209</f>
        <v>0</v>
      </c>
      <c r="J209" s="192">
        <f t="shared" si="210"/>
        <v>0</v>
      </c>
      <c r="L209">
        <f>G209/E6</f>
        <v>0</v>
      </c>
      <c r="M209">
        <f>G209/E7</f>
        <v>0</v>
      </c>
      <c r="P209" s="158">
        <v>76.290000000000006</v>
      </c>
      <c r="Q209">
        <f>P209*$D199</f>
        <v>55896.389597257643</v>
      </c>
      <c r="R209" s="596">
        <f>Q209/$E$6</f>
        <v>69.299165771294284</v>
      </c>
      <c r="S209" s="596">
        <f>Q209/($E$7/100)</f>
        <v>18.591545195248802</v>
      </c>
      <c r="V209" s="158"/>
      <c r="W209">
        <f>V209*$D199</f>
        <v>0</v>
      </c>
      <c r="X209" s="596">
        <f>W209/$E$6</f>
        <v>0</v>
      </c>
      <c r="Y209" s="596">
        <f>W209/($E$7/100)</f>
        <v>0</v>
      </c>
      <c r="AB209" s="158"/>
      <c r="AC209">
        <f>AB209*$D199</f>
        <v>0</v>
      </c>
      <c r="AD209" s="596">
        <f>AC209/$E$6</f>
        <v>0</v>
      </c>
      <c r="AE209" s="596">
        <f>AC209/($E$7/100)</f>
        <v>0</v>
      </c>
      <c r="AH209" s="158"/>
      <c r="AI209">
        <f>AH209*$D199</f>
        <v>0</v>
      </c>
      <c r="AJ209" s="596">
        <f>AI209/$E$6</f>
        <v>0</v>
      </c>
      <c r="AK209" s="596">
        <f>AI209/($E$7/100)</f>
        <v>0</v>
      </c>
      <c r="AN209" s="158"/>
      <c r="AO209">
        <f>AN209*$D199</f>
        <v>0</v>
      </c>
      <c r="AP209" s="596">
        <f>AO209/$E$6</f>
        <v>0</v>
      </c>
      <c r="AQ209" s="596">
        <f>AO209/($E$7/100)</f>
        <v>0</v>
      </c>
    </row>
    <row r="210" spans="1:44" ht="15.75" hidden="1">
      <c r="C210" s="41" t="s">
        <v>139</v>
      </c>
      <c r="D210" s="41"/>
      <c r="G210" s="544">
        <f>G208+G209</f>
        <v>1030.705982173019</v>
      </c>
      <c r="J210" s="192">
        <f>IF($D$2=$L$2,L210,IF($D$2=$M$2,M210,IF($D$2=$N$2,N210,IF($D$2=$R$2,R210,IF($D$2=$S$2,S210,IF($D$2=$T$2,T210,IF($D$2=$X$2,X210,IF($D$2=$Y$2,Y210,IF($D$2=$Z$2,Z210,IF($D$2=$AD$2,AD210,IF($D$2=$AE$2,AE210,IF($D$2=$AF$2,AF210,IF($D$2=$AJ$2,AJ210,IF($D$2=$AK$2,AK210,IF($D$2=$AL$2,AL210,IF($D$2=$AP$2,AP210,IF($D$2=$AQ$2,AQ210,IF($D$2=$AR$2,AR210))))))))))))))))))</f>
        <v>4.2479943344764495</v>
      </c>
      <c r="L210" s="544">
        <f>L208+L209</f>
        <v>7.0420217302464998</v>
      </c>
      <c r="M210" s="544">
        <f>M208+M209</f>
        <v>1.8892300333871217</v>
      </c>
      <c r="N210" s="137">
        <f>N208</f>
        <v>1.2382437758377679E-3</v>
      </c>
      <c r="Q210" s="137">
        <f>Q208+Q209</f>
        <v>59562.478665372233</v>
      </c>
      <c r="R210" s="544">
        <f>R208+R209</f>
        <v>73.844305732821724</v>
      </c>
      <c r="S210" s="137">
        <f t="shared" ref="S210" si="211">S208+S209</f>
        <v>19.810913048713953</v>
      </c>
      <c r="W210" s="137">
        <f>W208+W209</f>
        <v>3426.4127667925904</v>
      </c>
      <c r="X210" s="137">
        <f>X208+X209</f>
        <v>4.2479943344764495</v>
      </c>
      <c r="Y210" s="137">
        <f t="shared" ref="Y210" si="212">Y208+Y209</f>
        <v>1.1396497747061516</v>
      </c>
      <c r="AC210" s="137">
        <f>AC208+AC209</f>
        <v>3355.9049921854125</v>
      </c>
      <c r="AD210" s="137">
        <f t="shared" ref="AD210" si="213">AD208+AD209</f>
        <v>4.1605802815139379</v>
      </c>
      <c r="AE210" s="137">
        <f t="shared" ref="AE210" si="214">AE208+AE209</f>
        <v>1.1161983767237302</v>
      </c>
      <c r="AI210" s="137">
        <f>AI208+AI209</f>
        <v>0</v>
      </c>
      <c r="AJ210" s="137">
        <f t="shared" ref="AJ210" si="215">AJ208+AJ209</f>
        <v>0</v>
      </c>
      <c r="AK210" s="137">
        <f t="shared" ref="AK210" si="216">AK208+AK209</f>
        <v>0</v>
      </c>
      <c r="AO210" s="137">
        <f>AO208+AO209</f>
        <v>0</v>
      </c>
      <c r="AP210" s="137">
        <f t="shared" ref="AP210" si="217">AP208+AP209</f>
        <v>0</v>
      </c>
      <c r="AQ210" s="137">
        <f t="shared" ref="AQ210" si="218">AQ208+AQ209</f>
        <v>0</v>
      </c>
    </row>
    <row r="211" spans="1:44" ht="15.75" hidden="1">
      <c r="C211" s="41"/>
      <c r="D211" s="41"/>
      <c r="G211" s="544"/>
      <c r="J211" s="192"/>
      <c r="L211" s="544"/>
      <c r="M211" s="544"/>
    </row>
    <row r="212" spans="1:44" ht="15.75" hidden="1">
      <c r="A212" s="21"/>
      <c r="C212" s="41"/>
      <c r="D212" s="41"/>
      <c r="J212" s="343"/>
      <c r="Q212" s="69" t="s">
        <v>67</v>
      </c>
      <c r="R212" s="69" t="s">
        <v>278</v>
      </c>
      <c r="S212" s="69" t="s">
        <v>279</v>
      </c>
      <c r="T212" s="138" t="s">
        <v>83</v>
      </c>
      <c r="W212" s="69" t="s">
        <v>67</v>
      </c>
      <c r="X212" s="69" t="s">
        <v>278</v>
      </c>
      <c r="Y212" s="69" t="s">
        <v>279</v>
      </c>
      <c r="Z212" s="138" t="s">
        <v>83</v>
      </c>
      <c r="AC212" s="69" t="s">
        <v>67</v>
      </c>
      <c r="AD212" s="69" t="s">
        <v>278</v>
      </c>
      <c r="AE212" s="69" t="s">
        <v>279</v>
      </c>
      <c r="AF212" s="138" t="s">
        <v>83</v>
      </c>
      <c r="AI212" s="69" t="s">
        <v>67</v>
      </c>
      <c r="AJ212" s="69" t="s">
        <v>278</v>
      </c>
      <c r="AK212" s="69" t="s">
        <v>279</v>
      </c>
      <c r="AL212" s="138" t="s">
        <v>83</v>
      </c>
      <c r="AO212" s="69" t="s">
        <v>67</v>
      </c>
      <c r="AP212" s="69" t="s">
        <v>278</v>
      </c>
      <c r="AQ212" s="69" t="s">
        <v>279</v>
      </c>
      <c r="AR212" s="138" t="s">
        <v>83</v>
      </c>
    </row>
    <row r="213" spans="1:44" hidden="1">
      <c r="C213" s="56" t="s">
        <v>143</v>
      </c>
      <c r="E213" t="s">
        <v>7</v>
      </c>
      <c r="G213">
        <f>D181</f>
        <v>3115.6019429591984</v>
      </c>
      <c r="J213" s="344">
        <f>IF(OR($D$2=1,$D$2=4,$D$2=7,$D$2=10,$D$2=13,$D$2=16),L213,IF(OR($D$2=2,$D$2=5,$D$2=8,$D$2=11,$D$2=14,$D$2=17),M213,IF(OR($D$2=3,$D$2=6,$D$2=9,$D$2=12,$D$2=15,$D$2=18),N213)))</f>
        <v>3.8626576256203999</v>
      </c>
      <c r="L213">
        <f>G213/E6</f>
        <v>3.8626576256203999</v>
      </c>
      <c r="M213" s="347">
        <f>G213/$E$7*100</f>
        <v>1.0362718370592714</v>
      </c>
      <c r="N213" s="345">
        <f>G213/$G$218</f>
        <v>0.64941131102571836</v>
      </c>
      <c r="R213">
        <v>3.8626576256203999</v>
      </c>
      <c r="S213">
        <v>1.0362718370592714</v>
      </c>
      <c r="T213" s="345">
        <v>0.64941131102571836</v>
      </c>
      <c r="X213">
        <v>3.8626576256203999</v>
      </c>
      <c r="Y213" s="347">
        <v>1.0362718370592714</v>
      </c>
      <c r="Z213" s="345">
        <v>0.64941131102571836</v>
      </c>
      <c r="AD213">
        <v>3.8626576256203999</v>
      </c>
      <c r="AE213" s="347">
        <v>1.0362718370592714</v>
      </c>
      <c r="AF213" s="345">
        <v>0.64941131102571836</v>
      </c>
      <c r="AJ213">
        <v>3.8626576256203999</v>
      </c>
      <c r="AK213" s="347">
        <v>1.0362718370592714</v>
      </c>
      <c r="AL213" s="345">
        <v>0.64941131102571836</v>
      </c>
      <c r="AP213">
        <v>3.8626576256203999</v>
      </c>
      <c r="AQ213" s="347">
        <v>1.0362718370592714</v>
      </c>
      <c r="AR213" s="345">
        <v>0.64941131102571836</v>
      </c>
    </row>
    <row r="214" spans="1:44" hidden="1">
      <c r="E214" s="342" t="s">
        <v>144</v>
      </c>
      <c r="G214">
        <f>D185</f>
        <v>859.628718805831</v>
      </c>
      <c r="J214" s="344">
        <f t="shared" ref="J214:J217" si="219">IF(OR($D$2=1,$D$2=4,$D$2=7,$D$2=10,$D$2=13,$D$2=16),L214,IF(OR($D$2=2,$D$2=5,$D$2=8,$D$2=11,$D$2=14,$D$2=17),M214,IF(OR($D$2=3,$D$2=6,$D$2=9,$D$2=12,$D$2=15,$D$2=18),N214)))</f>
        <v>1.0657495683623415</v>
      </c>
      <c r="L214">
        <f>G214/E6</f>
        <v>1.0657495683623415</v>
      </c>
      <c r="M214" s="347">
        <f>G214/$E$7*100</f>
        <v>0.28591875596910687</v>
      </c>
      <c r="N214" s="345">
        <f>G214/$G$218</f>
        <v>0.17917969737328673</v>
      </c>
      <c r="R214">
        <v>1.0657495683623415</v>
      </c>
      <c r="S214">
        <v>0.28591875596910687</v>
      </c>
      <c r="T214" s="345">
        <v>0.17917969737328673</v>
      </c>
      <c r="X214">
        <v>1.0657495683623415</v>
      </c>
      <c r="Y214" s="347">
        <v>0.28591875596910687</v>
      </c>
      <c r="Z214" s="345">
        <v>0.17917969737328673</v>
      </c>
      <c r="AD214">
        <v>1.0657495683623415</v>
      </c>
      <c r="AE214" s="347">
        <v>0.28591875596910687</v>
      </c>
      <c r="AF214" s="345">
        <v>0.17917969737328673</v>
      </c>
      <c r="AJ214">
        <v>1.0657495683623415</v>
      </c>
      <c r="AK214" s="347">
        <v>0.28591875596910687</v>
      </c>
      <c r="AL214" s="345">
        <v>0.17917969737328673</v>
      </c>
      <c r="AP214">
        <v>1.0657495683623415</v>
      </c>
      <c r="AQ214" s="347">
        <v>0.28591875596910687</v>
      </c>
      <c r="AR214" s="345">
        <v>0.17917969737328673</v>
      </c>
    </row>
    <row r="215" spans="1:44" hidden="1">
      <c r="E215" s="342" t="s">
        <v>145</v>
      </c>
      <c r="G215">
        <f>D186</f>
        <v>200.76221744792986</v>
      </c>
      <c r="J215" s="344">
        <f t="shared" si="219"/>
        <v>0.24890076600259162</v>
      </c>
      <c r="L215">
        <f>G215/E6</f>
        <v>0.24890076600259162</v>
      </c>
      <c r="M215" s="347">
        <f>G215/$E$7*100</f>
        <v>6.6774971801840249E-2</v>
      </c>
      <c r="N215" s="345">
        <f>G215/$G$218</f>
        <v>4.1846570012553715E-2</v>
      </c>
      <c r="R215">
        <v>0.24890076600259162</v>
      </c>
      <c r="S215">
        <v>6.6774971801840249E-2</v>
      </c>
      <c r="T215" s="345">
        <v>4.1846570012553715E-2</v>
      </c>
      <c r="X215">
        <v>0.24890076600259162</v>
      </c>
      <c r="Y215" s="347">
        <v>6.6774971801840249E-2</v>
      </c>
      <c r="Z215" s="345">
        <v>4.1846570012553715E-2</v>
      </c>
      <c r="AD215">
        <v>0.24890076600259162</v>
      </c>
      <c r="AE215" s="347">
        <v>6.6774971801840249E-2</v>
      </c>
      <c r="AF215" s="345">
        <v>4.1846570012553715E-2</v>
      </c>
      <c r="AJ215">
        <v>0.24890076600259162</v>
      </c>
      <c r="AK215" s="347">
        <v>6.6774971801840249E-2</v>
      </c>
      <c r="AL215" s="345">
        <v>4.1846570012553715E-2</v>
      </c>
      <c r="AP215">
        <v>0.24890076600259162</v>
      </c>
      <c r="AQ215" s="347">
        <v>6.6774971801840249E-2</v>
      </c>
      <c r="AR215" s="345">
        <v>4.1846570012553715E-2</v>
      </c>
    </row>
    <row r="216" spans="1:44" hidden="1">
      <c r="E216" s="342" t="s">
        <v>146</v>
      </c>
      <c r="G216">
        <f>D187</f>
        <v>55.594262161049791</v>
      </c>
      <c r="J216" s="344">
        <f t="shared" si="219"/>
        <v>6.8924594543408546E-2</v>
      </c>
      <c r="L216">
        <f>G216/E6</f>
        <v>6.8924594543408546E-2</v>
      </c>
      <c r="M216" s="347">
        <f>G216/$E$7*100</f>
        <v>1.8491055415399794E-2</v>
      </c>
      <c r="N216" s="345">
        <f>G216/$G$218</f>
        <v>1.1587983104550158E-2</v>
      </c>
      <c r="R216">
        <v>6.8924594543408546E-2</v>
      </c>
      <c r="S216">
        <v>1.8491055415399794E-2</v>
      </c>
      <c r="T216" s="345">
        <v>1.1587983104550158E-2</v>
      </c>
      <c r="X216">
        <v>6.8924594543408546E-2</v>
      </c>
      <c r="Y216" s="347">
        <v>1.8491055415399794E-2</v>
      </c>
      <c r="Z216" s="345">
        <v>1.1587983104550158E-2</v>
      </c>
      <c r="AD216">
        <v>6.8924594543408546E-2</v>
      </c>
      <c r="AE216" s="347">
        <v>1.8491055415399794E-2</v>
      </c>
      <c r="AF216" s="345">
        <v>1.1587983104550158E-2</v>
      </c>
      <c r="AJ216">
        <v>6.8924594543408546E-2</v>
      </c>
      <c r="AK216" s="347">
        <v>1.8491055415399794E-2</v>
      </c>
      <c r="AL216" s="345">
        <v>1.1587983104550158E-2</v>
      </c>
      <c r="AP216">
        <v>6.8924594543408546E-2</v>
      </c>
      <c r="AQ216" s="347">
        <v>1.8491055415399794E-2</v>
      </c>
      <c r="AR216" s="345">
        <v>1.1587983104550158E-2</v>
      </c>
    </row>
    <row r="217" spans="1:44" hidden="1">
      <c r="E217" s="342" t="s">
        <v>9</v>
      </c>
      <c r="G217">
        <f>D191</f>
        <v>565.99166586640285</v>
      </c>
      <c r="J217" s="344">
        <f t="shared" si="219"/>
        <v>0.70170453871266092</v>
      </c>
      <c r="L217">
        <f>G217/E6</f>
        <v>0.70170453871266092</v>
      </c>
      <c r="M217" s="347">
        <f>G217/$E$7*100</f>
        <v>0.18825293926686179</v>
      </c>
      <c r="N217" s="345">
        <f>G217/$G$218</f>
        <v>0.11797443848389094</v>
      </c>
      <c r="R217">
        <v>0.70170453871266092</v>
      </c>
      <c r="S217">
        <v>0.18825293926686179</v>
      </c>
      <c r="T217" s="345">
        <v>0.11797443848389094</v>
      </c>
      <c r="X217">
        <v>0.70170453871266092</v>
      </c>
      <c r="Y217" s="347">
        <v>0.18825293926686179</v>
      </c>
      <c r="Z217" s="345">
        <v>0.11797443848389094</v>
      </c>
      <c r="AD217">
        <v>0.70170453871266092</v>
      </c>
      <c r="AE217" s="347">
        <v>0.18825293926686179</v>
      </c>
      <c r="AF217" s="345">
        <v>0.11797443848389094</v>
      </c>
      <c r="AJ217">
        <v>0.70170453871266092</v>
      </c>
      <c r="AK217" s="347">
        <v>0.18825293926686179</v>
      </c>
      <c r="AL217" s="345">
        <v>0.11797443848389094</v>
      </c>
      <c r="AP217">
        <v>0.70170453871266092</v>
      </c>
      <c r="AQ217" s="347">
        <v>0.18825293926686179</v>
      </c>
      <c r="AR217" s="345">
        <v>0.11797443848389094</v>
      </c>
    </row>
    <row r="218" spans="1:44" hidden="1">
      <c r="B218"/>
      <c r="E218" s="342" t="s">
        <v>6</v>
      </c>
      <c r="G218">
        <f>SUM(G213:G217)</f>
        <v>4797.5788072404121</v>
      </c>
    </row>
    <row r="219" spans="1:44" ht="17.25" hidden="1" thickBot="1">
      <c r="B219"/>
      <c r="E219" s="342"/>
    </row>
    <row r="220" spans="1:44" hidden="1">
      <c r="B220"/>
      <c r="D220" s="69" t="s">
        <v>67</v>
      </c>
      <c r="E220" s="69" t="s">
        <v>278</v>
      </c>
      <c r="F220" s="69" t="s">
        <v>279</v>
      </c>
      <c r="G220" s="69" t="s">
        <v>83</v>
      </c>
      <c r="L220" s="562" t="s">
        <v>262</v>
      </c>
      <c r="M220" s="173"/>
      <c r="N220" s="563"/>
      <c r="R220" s="562" t="s">
        <v>262</v>
      </c>
      <c r="S220" s="173"/>
      <c r="T220" s="563"/>
      <c r="X220" s="562" t="s">
        <v>262</v>
      </c>
      <c r="Y220" s="173"/>
      <c r="Z220" s="563"/>
      <c r="AD220" s="562" t="s">
        <v>262</v>
      </c>
      <c r="AE220" s="173"/>
      <c r="AF220" s="563"/>
    </row>
    <row r="221" spans="1:44" hidden="1">
      <c r="B221"/>
      <c r="C221" s="364" t="s">
        <v>141</v>
      </c>
      <c r="D221" s="364">
        <v>1503257.4952579197</v>
      </c>
      <c r="E221" s="365">
        <f t="shared" ref="E221:E229" si="220">D221/$E$6</f>
        <v>1863.7069605284516</v>
      </c>
      <c r="F221" s="365">
        <f t="shared" ref="F221:F229" si="221">D221/$E$7*100</f>
        <v>499.99436215027549</v>
      </c>
      <c r="G221" s="345">
        <f>SUM(G222:G223)</f>
        <v>1</v>
      </c>
      <c r="J221" s="367">
        <f>IF(OR($D$2=1,$D$2=4,$D$2=7,$D$2=10,$D$2=13,$D$2=16),E221,IF(OR($D$2=2,$D$2=5,$D$2=8,$D$2=11,$D$2=14,$D$2=17),F221,IF(OR($D$2=3,$D$2=6,$D$2=9,$D$2=12,$D$2=15,$D$2=18),G221)))</f>
        <v>1863.7069605284516</v>
      </c>
      <c r="L221" s="174" t="s">
        <v>263</v>
      </c>
      <c r="M221" s="573">
        <f>L16+L25+L30+L35+L47+L57+L63+L67+L73+L81+L87+L107+L188+L192</f>
        <v>787.48856121343408</v>
      </c>
      <c r="N221" s="574">
        <f>M16+M25+M30+M35+M47+M57+M63+M67+M73+M81+M87+M107+M188+M192</f>
        <v>211.26703350021546</v>
      </c>
      <c r="R221" s="174" t="s">
        <v>263</v>
      </c>
      <c r="S221" s="639">
        <f>Q16+Q25+Q30+Q35+Q47+Q57+Q63+Q67+Q73+Q81+Q87+Q107+Q188+Q192</f>
        <v>659605.14883426204</v>
      </c>
      <c r="T221" s="640"/>
      <c r="X221" s="174" t="s">
        <v>263</v>
      </c>
      <c r="Y221" s="641">
        <f>W16+W25+W30+W35+W47+W57+W63+W67+W73+W81+W87+W107+W188+W192+W136</f>
        <v>679367.44221733732</v>
      </c>
      <c r="Z221" s="642"/>
      <c r="AD221" s="174" t="s">
        <v>263</v>
      </c>
      <c r="AE221" s="641">
        <f>AC16+AC25+AC30+AC35+AC47+AC57+AC63+AC67+AC73+AC81+AC87+AC107+AC188+AC192+AC136</f>
        <v>752949.56097967911</v>
      </c>
      <c r="AF221" s="642"/>
    </row>
    <row r="222" spans="1:44" hidden="1">
      <c r="B222"/>
      <c r="C222" s="359" t="s">
        <v>106</v>
      </c>
      <c r="D222" s="410">
        <v>438984.5489627684</v>
      </c>
      <c r="E222" s="346">
        <f t="shared" si="220"/>
        <v>544.24379192999345</v>
      </c>
      <c r="F222" s="346">
        <f t="shared" si="221"/>
        <v>146.00944964176418</v>
      </c>
      <c r="G222" s="345">
        <f>D222/D221</f>
        <v>0.29202219203799823</v>
      </c>
      <c r="J222" s="367">
        <f t="shared" ref="J222:J233" si="222">IF(OR($D$2=1,$D$2=4,$D$2=7,$D$2=10,$D$2=13,$D$2=16),E222,IF(OR($D$2=2,$D$2=5,$D$2=8,$D$2=11,$D$2=14,$D$2=17),F222,IF(OR($D$2=3,$D$2=6,$D$2=9,$D$2=12,$D$2=15,$D$2=18),G222)))</f>
        <v>544.24379192999345</v>
      </c>
      <c r="L222" s="174" t="s">
        <v>264</v>
      </c>
      <c r="M222" s="575">
        <f>L16+L25+L30+L35+L47+L57+L63+L67+L73+L81+L87+L91+L102+L107+L188+L192</f>
        <v>792.90371134546876</v>
      </c>
      <c r="N222" s="576">
        <f>M16+M25+M30+M35+M47+M57+M63+M67+M73+M81+M87+M91+M102+M107+M188+M192</f>
        <v>212.7198072428466</v>
      </c>
      <c r="R222" s="174" t="s">
        <v>264</v>
      </c>
      <c r="S222" s="175"/>
      <c r="T222" s="564">
        <f>Q16+Q25+Q30+Q35+Q47+Q57+Q63+Q67+Q73+Q81+Q87+Q91+Q102+Q107+Q188+Q192</f>
        <v>663871.85908885358</v>
      </c>
      <c r="X222" s="174" t="s">
        <v>264</v>
      </c>
      <c r="Y222" s="575"/>
      <c r="Z222" s="576">
        <f>W16+W25+W30+W35+W47+W57+W63+W67+W73+W81+W87+W91+W102+W107+W188+W192+W136</f>
        <v>684627.11772967409</v>
      </c>
      <c r="AD222" s="174" t="s">
        <v>264</v>
      </c>
      <c r="AE222" s="575"/>
      <c r="AF222" s="576">
        <f>AC16+AC25+AC30+AC35+AC47+AC57+AC63+AC67+AC73+AC81+AC87+AC91+AC102+AC107+AC188+AC192+AC136</f>
        <v>776007.81119927776</v>
      </c>
    </row>
    <row r="223" spans="1:44" hidden="1">
      <c r="B223"/>
      <c r="C223" s="359" t="s">
        <v>110</v>
      </c>
      <c r="D223" s="56">
        <v>1064272.9462951513</v>
      </c>
      <c r="E223" s="346">
        <f t="shared" si="220"/>
        <v>1319.4631685984582</v>
      </c>
      <c r="F223" s="346">
        <f t="shared" si="221"/>
        <v>353.98491250851134</v>
      </c>
      <c r="G223" s="345">
        <f>D223/D221</f>
        <v>0.70797780796200183</v>
      </c>
      <c r="J223" s="367">
        <f t="shared" si="222"/>
        <v>1319.4631685984582</v>
      </c>
      <c r="L223" s="174" t="s">
        <v>265</v>
      </c>
      <c r="M223" s="575">
        <f>L112+L118+L123+L128+L138</f>
        <v>69.24331037395001</v>
      </c>
      <c r="N223" s="576">
        <f>M112+M118+M123+M128+M138</f>
        <v>18.576560337457707</v>
      </c>
      <c r="R223" s="174" t="s">
        <v>265</v>
      </c>
      <c r="S223" s="175"/>
      <c r="T223" s="564">
        <f>Q112+Q118+Q123+Q128+Q138</f>
        <v>60612.81088029137</v>
      </c>
      <c r="X223" s="174" t="s">
        <v>265</v>
      </c>
      <c r="Y223" s="575"/>
      <c r="Z223" s="576">
        <f>W112+W118+W123+W128+W138-W136</f>
        <v>57033.360386735294</v>
      </c>
      <c r="AD223" s="174" t="s">
        <v>265</v>
      </c>
      <c r="AE223" s="575"/>
      <c r="AF223" s="576">
        <f>AC112+AC118+AC123+AC128+AC138-AC136</f>
        <v>56476.094735323037</v>
      </c>
    </row>
    <row r="224" spans="1:44" hidden="1">
      <c r="B224"/>
      <c r="C224" s="360" t="s">
        <v>227</v>
      </c>
      <c r="D224" s="362"/>
      <c r="E224" s="363">
        <f t="shared" si="220"/>
        <v>0</v>
      </c>
      <c r="F224" s="363">
        <f t="shared" si="221"/>
        <v>0</v>
      </c>
      <c r="G224" s="345">
        <f>D224/D221</f>
        <v>0</v>
      </c>
      <c r="J224" s="367">
        <f t="shared" si="222"/>
        <v>0</v>
      </c>
      <c r="L224" s="174" t="s">
        <v>266</v>
      </c>
      <c r="M224" s="575">
        <f>L176</f>
        <v>115.613945504447</v>
      </c>
      <c r="N224" s="576">
        <f>M176</f>
        <v>31.016850911895379</v>
      </c>
      <c r="R224" s="174" t="s">
        <v>266</v>
      </c>
      <c r="S224" s="175"/>
      <c r="T224" s="564">
        <f>Q176</f>
        <v>96449.335108015788</v>
      </c>
      <c r="X224" s="174" t="s">
        <v>266</v>
      </c>
      <c r="Y224" s="575"/>
      <c r="Z224" s="576">
        <f>W176+W200</f>
        <v>159152.82399793447</v>
      </c>
      <c r="AD224" s="174" t="s">
        <v>266</v>
      </c>
      <c r="AE224" s="575"/>
      <c r="AF224" s="576">
        <f>AC176+AC200</f>
        <v>158066.76558356261</v>
      </c>
    </row>
    <row r="225" spans="2:40" hidden="1">
      <c r="B225"/>
      <c r="C225" s="360" t="s">
        <v>107</v>
      </c>
      <c r="D225" s="362">
        <v>407183.42369537341</v>
      </c>
      <c r="E225" s="363">
        <f t="shared" si="220"/>
        <v>504.81742705209047</v>
      </c>
      <c r="F225" s="363">
        <f t="shared" si="221"/>
        <v>135.43216438365602</v>
      </c>
      <c r="G225" s="345">
        <f>D225/D221</f>
        <v>0.27086738298651314</v>
      </c>
      <c r="J225" s="367">
        <f t="shared" si="222"/>
        <v>504.81742705209047</v>
      </c>
      <c r="L225" s="174" t="s">
        <v>267</v>
      </c>
      <c r="M225" s="575">
        <f>M222+M223-M224</f>
        <v>746.53307621497174</v>
      </c>
      <c r="N225" s="576">
        <f>N222+N223-N224</f>
        <v>200.27951666840895</v>
      </c>
      <c r="R225" s="174" t="s">
        <v>267</v>
      </c>
      <c r="S225" s="175"/>
      <c r="T225" s="564">
        <f>T222+T223-T224</f>
        <v>628035.33486112917</v>
      </c>
      <c r="X225" s="174" t="s">
        <v>267</v>
      </c>
      <c r="Y225" s="575"/>
      <c r="Z225" s="576">
        <f>Z222+Z223-Z224</f>
        <v>582507.65411847492</v>
      </c>
      <c r="AD225" s="174" t="s">
        <v>267</v>
      </c>
      <c r="AE225" s="575"/>
      <c r="AF225" s="576">
        <f>AF222+AF223-AF224</f>
        <v>674417.14035103819</v>
      </c>
    </row>
    <row r="226" spans="2:40" hidden="1">
      <c r="B226"/>
      <c r="C226" s="360" t="s">
        <v>48</v>
      </c>
      <c r="D226" s="362">
        <v>389539.26662632398</v>
      </c>
      <c r="E226" s="363">
        <f t="shared" si="220"/>
        <v>482.94257297953334</v>
      </c>
      <c r="F226" s="363">
        <f t="shared" si="221"/>
        <v>129.56358958043842</v>
      </c>
      <c r="G226" s="345">
        <f>D226/D221</f>
        <v>0.25913010103401429</v>
      </c>
      <c r="J226" s="367">
        <f t="shared" si="222"/>
        <v>482.94257297953334</v>
      </c>
      <c r="L226" s="174" t="s">
        <v>268</v>
      </c>
      <c r="M226" s="575">
        <f>L182+L196+L145</f>
        <v>159.71663847443625</v>
      </c>
      <c r="N226" s="576">
        <f>M182+M196+M145</f>
        <v>42.848699108881604</v>
      </c>
      <c r="R226" s="174" t="s">
        <v>268</v>
      </c>
      <c r="S226" s="175"/>
      <c r="T226" s="564">
        <f>Q182+Q196+Q145</f>
        <v>129114.50307323693</v>
      </c>
      <c r="X226" s="174" t="s">
        <v>268</v>
      </c>
      <c r="Y226" s="575"/>
      <c r="Z226" s="576">
        <f>W182+W196+W145</f>
        <v>128499.38780464168</v>
      </c>
      <c r="AD226" s="174" t="s">
        <v>268</v>
      </c>
      <c r="AE226" s="575"/>
      <c r="AF226" s="576">
        <f>AC182+AC196+AC145</f>
        <v>132996.67616450219</v>
      </c>
    </row>
    <row r="227" spans="2:40" ht="17.25" hidden="1" thickBot="1">
      <c r="B227"/>
      <c r="C227" s="360" t="s">
        <v>59</v>
      </c>
      <c r="D227" s="362">
        <v>124417.25872368659</v>
      </c>
      <c r="E227" s="363">
        <f t="shared" si="220"/>
        <v>154.2498951940498</v>
      </c>
      <c r="F227" s="363">
        <f t="shared" si="221"/>
        <v>41.382083982466504</v>
      </c>
      <c r="G227" s="345">
        <f>D227/D221</f>
        <v>8.2765101199339011E-2</v>
      </c>
      <c r="J227" s="367">
        <f t="shared" si="222"/>
        <v>154.2498951940498</v>
      </c>
      <c r="L227" s="177" t="s">
        <v>269</v>
      </c>
      <c r="M227" s="577">
        <f>M226+M225</f>
        <v>906.24971468940794</v>
      </c>
      <c r="N227" s="578">
        <f>N226+N225</f>
        <v>243.12821577729056</v>
      </c>
      <c r="R227" s="177" t="s">
        <v>269</v>
      </c>
      <c r="S227" s="178"/>
      <c r="T227" s="565">
        <f>T226+T225</f>
        <v>757149.83793436608</v>
      </c>
      <c r="X227" s="177" t="s">
        <v>269</v>
      </c>
      <c r="Y227" s="577"/>
      <c r="Z227" s="578">
        <f>Z225+Z226</f>
        <v>711007.04192311666</v>
      </c>
      <c r="AD227" s="177" t="s">
        <v>269</v>
      </c>
      <c r="AE227" s="577"/>
      <c r="AF227" s="578">
        <f>AF225+AF226</f>
        <v>807413.81651554035</v>
      </c>
    </row>
    <row r="228" spans="2:40" hidden="1">
      <c r="B228"/>
      <c r="C228" s="360" t="s">
        <v>108</v>
      </c>
      <c r="D228" s="362">
        <v>111665.53759683418</v>
      </c>
      <c r="E228" s="363">
        <f t="shared" si="220"/>
        <v>138.44058009147983</v>
      </c>
      <c r="F228" s="363">
        <f t="shared" si="221"/>
        <v>37.140768910862725</v>
      </c>
      <c r="G228" s="345">
        <f>D228/D221</f>
        <v>7.4282375407464907E-2</v>
      </c>
      <c r="J228" s="367">
        <f t="shared" si="222"/>
        <v>138.44058009147983</v>
      </c>
    </row>
    <row r="229" spans="2:40" hidden="1">
      <c r="B229"/>
      <c r="C229" s="360" t="s">
        <v>109</v>
      </c>
      <c r="D229" s="362">
        <v>31467.459652932965</v>
      </c>
      <c r="E229" s="363">
        <f t="shared" si="220"/>
        <v>39.012693281304571</v>
      </c>
      <c r="F229" s="363">
        <f t="shared" si="221"/>
        <v>10.466305651087595</v>
      </c>
      <c r="G229" s="345">
        <f>D229/D221</f>
        <v>2.0932847334670348E-2</v>
      </c>
      <c r="J229" s="367">
        <f t="shared" si="222"/>
        <v>39.012693281304571</v>
      </c>
      <c r="W229" s="137"/>
      <c r="Z229" s="566"/>
    </row>
    <row r="230" spans="2:40" hidden="1">
      <c r="B230"/>
      <c r="E230" s="346"/>
      <c r="F230" s="361"/>
      <c r="J230" s="367"/>
      <c r="Z230" s="137"/>
    </row>
    <row r="231" spans="2:40" hidden="1">
      <c r="B231"/>
      <c r="C231" s="364" t="s">
        <v>147</v>
      </c>
      <c r="D231" s="364">
        <v>530467.64697310957</v>
      </c>
      <c r="E231" s="365">
        <f>D231/$E$6</f>
        <v>657.66260877968193</v>
      </c>
      <c r="F231" s="366">
        <f>D231/$E$7*100</f>
        <v>176.43739254675776</v>
      </c>
      <c r="J231" s="367">
        <f>IF(OR($D$2=1,$D$2=4,$D$2=7,$D$2=10,$D$2=13,$D$2=16),E231,IF(OR($D$2=2,$D$2=5,$D$2=8,$D$2=11,$D$2=14,$D$2=17),F231,IF(OR($D$2=3,$D$2=6,$D$2=9,$D$2=12,$D$2=15,$D$2=18),G231)))</f>
        <v>657.66260877968193</v>
      </c>
    </row>
    <row r="232" spans="2:40" hidden="1">
      <c r="B232"/>
      <c r="C232" s="359" t="s">
        <v>106</v>
      </c>
      <c r="D232" s="56">
        <v>307795.69294995983</v>
      </c>
      <c r="E232" s="346">
        <f>D232/$E$6</f>
        <v>381.59861313254015</v>
      </c>
      <c r="F232" s="361">
        <f>D232/$E$7*100</f>
        <v>102.37508321401229</v>
      </c>
      <c r="G232" s="345">
        <f>D232/D231</f>
        <v>0.58023461884295191</v>
      </c>
      <c r="J232" s="367">
        <f t="shared" si="222"/>
        <v>381.59861313254015</v>
      </c>
    </row>
    <row r="233" spans="2:40" hidden="1">
      <c r="B233"/>
      <c r="C233" s="359" t="s">
        <v>110</v>
      </c>
      <c r="D233" s="56">
        <v>664994.15533485019</v>
      </c>
      <c r="E233" s="346">
        <f>D233/$E$6</f>
        <v>824.44573861622951</v>
      </c>
      <c r="F233" s="361">
        <f>D233/$E$7*100</f>
        <v>221.18188638950537</v>
      </c>
      <c r="G233" s="345">
        <f>D233/D231</f>
        <v>1.2535998361622231</v>
      </c>
      <c r="J233" s="367">
        <f t="shared" si="222"/>
        <v>824.44573861622951</v>
      </c>
    </row>
    <row r="234" spans="2:40" hidden="1"/>
    <row r="235" spans="2:40" hidden="1">
      <c r="B235"/>
      <c r="G235" t="s">
        <v>169</v>
      </c>
      <c r="J235" s="385">
        <f>D231/D221</f>
        <v>0.35287876404840091</v>
      </c>
      <c r="N235"/>
      <c r="P235"/>
      <c r="U235"/>
      <c r="V235"/>
      <c r="AA235"/>
      <c r="AB235"/>
      <c r="AG235"/>
      <c r="AH235"/>
      <c r="AM235"/>
      <c r="AN235"/>
    </row>
    <row r="236" spans="2:40" ht="17.25" hidden="1" thickBot="1">
      <c r="B236"/>
      <c r="N236"/>
      <c r="P236"/>
      <c r="U236"/>
      <c r="V236"/>
      <c r="AA236"/>
      <c r="AB236"/>
      <c r="AG236"/>
      <c r="AH236"/>
      <c r="AM236"/>
      <c r="AN236"/>
    </row>
    <row r="237" spans="2:40" hidden="1">
      <c r="B237"/>
      <c r="C237" s="387" t="s">
        <v>170</v>
      </c>
      <c r="N237"/>
      <c r="P237"/>
      <c r="U237"/>
      <c r="V237"/>
      <c r="AA237"/>
      <c r="AB237"/>
      <c r="AG237"/>
      <c r="AH237"/>
      <c r="AM237"/>
      <c r="AN237"/>
    </row>
    <row r="238" spans="2:40" hidden="1">
      <c r="B238"/>
      <c r="C238" s="388"/>
      <c r="F238" s="345"/>
      <c r="N238"/>
      <c r="P238"/>
      <c r="U238"/>
      <c r="V238"/>
      <c r="AA238"/>
      <c r="AB238"/>
      <c r="AG238"/>
      <c r="AH238"/>
      <c r="AM238"/>
      <c r="AN238"/>
    </row>
    <row r="239" spans="2:40" hidden="1">
      <c r="B239"/>
      <c r="C239" s="389" t="s">
        <v>171</v>
      </c>
      <c r="N239"/>
      <c r="P239"/>
      <c r="U239"/>
      <c r="V239"/>
      <c r="AA239"/>
      <c r="AB239"/>
      <c r="AG239"/>
      <c r="AH239"/>
      <c r="AM239"/>
      <c r="AN239"/>
    </row>
    <row r="240" spans="2:40" hidden="1">
      <c r="B240"/>
      <c r="C240" s="388">
        <f>J208+J203+J176-J145-J138-J128-J123-J118-J112-J107-J102-J91-J87-J81-J73-J67-J63-J57-J47-J35-J30-J25-J16</f>
        <v>32.97543371270848</v>
      </c>
      <c r="N240"/>
      <c r="P240"/>
      <c r="U240"/>
      <c r="V240"/>
      <c r="AA240"/>
      <c r="AB240"/>
      <c r="AG240"/>
      <c r="AH240"/>
      <c r="AM240"/>
      <c r="AN240"/>
    </row>
    <row r="241" spans="2:40" ht="17.25" hidden="1" thickBot="1">
      <c r="B241"/>
      <c r="C241" s="390">
        <f>C238-C240</f>
        <v>-32.97543371270848</v>
      </c>
      <c r="N241"/>
      <c r="P241"/>
      <c r="U241"/>
      <c r="V241"/>
      <c r="AA241"/>
      <c r="AB241"/>
      <c r="AG241"/>
      <c r="AH241"/>
      <c r="AM241"/>
      <c r="AN241"/>
    </row>
    <row r="242" spans="2:40">
      <c r="C242" s="56" t="s">
        <v>255</v>
      </c>
    </row>
  </sheetData>
  <sheetProtection algorithmName="SHA-512" hashValue="gCtx/qY6ukd/YuWDGTIz6WO0L0yfxNyn5prwwveo/bG31dbuecmMd4UV9VIi0AwVnYe9RNrNmstBZk0Y/z86EQ==" saltValue="TlE+d256Gz5mSXhWry1DTA==" spinCount="100000" sheet="1" selectLockedCells="1" selectUnlockedCells="1"/>
  <mergeCells count="9">
    <mergeCell ref="S221:T221"/>
    <mergeCell ref="Y221:Z221"/>
    <mergeCell ref="L8:M9"/>
    <mergeCell ref="R8:S9"/>
    <mergeCell ref="AP8:AQ9"/>
    <mergeCell ref="AJ8:AK9"/>
    <mergeCell ref="AD8:AE9"/>
    <mergeCell ref="X8:Y9"/>
    <mergeCell ref="AE221:AF221"/>
  </mergeCells>
  <conditionalFormatting sqref="J212 J218:J1048576 J204 J207 J1:J10">
    <cfRule type="expression" dxfId="0" priority="2">
      <formula>IF(OR($D$2=3,$D$2=6,$D$2=9,$D$2=12,$D$2=15,$D$2=18),+$J:$J)</formula>
    </cfRule>
  </conditionalFormatting>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euil6"/>
  <dimension ref="A1:J29"/>
  <sheetViews>
    <sheetView workbookViewId="0">
      <selection activeCell="B26" sqref="B26"/>
    </sheetView>
  </sheetViews>
  <sheetFormatPr baseColWidth="10" defaultRowHeight="14.25"/>
  <cols>
    <col min="1" max="1" width="29.125" customWidth="1"/>
    <col min="7" max="7" width="24" customWidth="1"/>
    <col min="8" max="8" width="10.75" customWidth="1"/>
    <col min="9" max="9" width="12" customWidth="1"/>
  </cols>
  <sheetData>
    <row r="1" spans="1:2">
      <c r="A1" t="s">
        <v>255</v>
      </c>
    </row>
    <row r="2" spans="1:2">
      <c r="A2" t="s">
        <v>74</v>
      </c>
    </row>
    <row r="3" spans="1:2">
      <c r="A3" s="159"/>
      <c r="B3">
        <v>2018</v>
      </c>
    </row>
    <row r="4" spans="1:2">
      <c r="A4" s="155"/>
      <c r="B4">
        <v>2019</v>
      </c>
    </row>
    <row r="5" spans="1:2">
      <c r="A5" s="150"/>
      <c r="B5">
        <v>2020</v>
      </c>
    </row>
    <row r="6" spans="1:2">
      <c r="A6" s="151"/>
      <c r="B6">
        <v>2021</v>
      </c>
    </row>
    <row r="7" spans="1:2">
      <c r="A7" s="152"/>
      <c r="B7">
        <v>2022</v>
      </c>
    </row>
    <row r="8" spans="1:2">
      <c r="A8" s="160"/>
      <c r="B8">
        <v>2023</v>
      </c>
    </row>
    <row r="10" spans="1:2">
      <c r="A10" t="s">
        <v>75</v>
      </c>
    </row>
    <row r="11" spans="1:2">
      <c r="A11" s="154"/>
      <c r="B11" t="s">
        <v>76</v>
      </c>
    </row>
    <row r="12" spans="1:2">
      <c r="A12" s="153"/>
      <c r="B12" t="s">
        <v>77</v>
      </c>
    </row>
    <row r="13" spans="1:2">
      <c r="A13" s="158"/>
      <c r="B13" t="s">
        <v>78</v>
      </c>
    </row>
    <row r="14" spans="1:2">
      <c r="A14" s="156"/>
      <c r="B14" t="s">
        <v>79</v>
      </c>
    </row>
    <row r="16" spans="1:2" ht="15" thickBot="1"/>
    <row r="17" spans="1:10">
      <c r="A17" t="s">
        <v>80</v>
      </c>
      <c r="F17" s="163" t="s">
        <v>84</v>
      </c>
      <c r="G17" s="164"/>
      <c r="H17" s="164"/>
      <c r="I17" s="164"/>
      <c r="J17" s="165"/>
    </row>
    <row r="18" spans="1:10">
      <c r="A18" t="s">
        <v>81</v>
      </c>
      <c r="B18" t="s">
        <v>272</v>
      </c>
      <c r="F18" s="166"/>
      <c r="G18" s="167"/>
      <c r="H18" s="167" t="str">
        <f>B27</f>
        <v>par veau</v>
      </c>
      <c r="I18" s="167" t="str">
        <f>B28</f>
        <v>par 100 lb</v>
      </c>
      <c r="J18" s="168" t="str">
        <f>B29</f>
        <v>%</v>
      </c>
    </row>
    <row r="19" spans="1:10">
      <c r="B19" t="s">
        <v>137</v>
      </c>
      <c r="F19" s="166"/>
      <c r="G19" s="167" t="str">
        <f t="shared" ref="G19:G24" si="0">B18</f>
        <v>Coût de production 2018</v>
      </c>
      <c r="H19" s="167">
        <v>1</v>
      </c>
      <c r="I19" s="167">
        <v>2</v>
      </c>
      <c r="J19" s="168">
        <v>3</v>
      </c>
    </row>
    <row r="20" spans="1:10">
      <c r="B20" t="s">
        <v>138</v>
      </c>
      <c r="F20" s="166"/>
      <c r="G20" s="167" t="str">
        <f t="shared" si="0"/>
        <v>Indexation 2019</v>
      </c>
      <c r="H20" s="167">
        <v>4</v>
      </c>
      <c r="I20" s="167">
        <v>5</v>
      </c>
      <c r="J20" s="168">
        <v>6</v>
      </c>
    </row>
    <row r="21" spans="1:10">
      <c r="B21" t="s">
        <v>142</v>
      </c>
      <c r="F21" s="166"/>
      <c r="G21" s="167" t="str">
        <f t="shared" si="0"/>
        <v>Indexation 2020</v>
      </c>
      <c r="H21" s="167">
        <v>7</v>
      </c>
      <c r="I21" s="167">
        <v>8</v>
      </c>
      <c r="J21" s="168">
        <v>9</v>
      </c>
    </row>
    <row r="22" spans="1:10">
      <c r="B22" t="s">
        <v>173</v>
      </c>
      <c r="F22" s="166"/>
      <c r="G22" s="167" t="str">
        <f t="shared" si="0"/>
        <v>Indexation 2021</v>
      </c>
      <c r="H22" s="167">
        <v>10</v>
      </c>
      <c r="I22" s="167">
        <v>11</v>
      </c>
      <c r="J22" s="168">
        <v>12</v>
      </c>
    </row>
    <row r="23" spans="1:10">
      <c r="B23" t="s">
        <v>273</v>
      </c>
      <c r="F23" s="166"/>
      <c r="G23" s="167" t="str">
        <f t="shared" si="0"/>
        <v>Indexation 2022</v>
      </c>
      <c r="H23" s="167">
        <v>13</v>
      </c>
      <c r="I23" s="167">
        <v>14</v>
      </c>
      <c r="J23" s="168">
        <v>15</v>
      </c>
    </row>
    <row r="24" spans="1:10" ht="15" thickBot="1">
      <c r="F24" s="169"/>
      <c r="G24" s="170" t="str">
        <f t="shared" si="0"/>
        <v>Indexation 2023</v>
      </c>
      <c r="H24" s="170">
        <v>16</v>
      </c>
      <c r="I24" s="170">
        <v>17</v>
      </c>
      <c r="J24" s="171">
        <v>18</v>
      </c>
    </row>
    <row r="25" spans="1:10" ht="15" thickBot="1"/>
    <row r="26" spans="1:10" ht="36">
      <c r="F26" s="172" t="s">
        <v>84</v>
      </c>
      <c r="G26" s="173"/>
      <c r="H26" s="180">
        <f>IF(AND(G27=G19,G28=H18),H19,IF(AND(G27=G19,G28=I18),I19,IF(AND(G27=G19,G28=J18),J19,IF(AND(G27=G20,G28=H18),H20,IF(AND(G27=G20,G28=I18),I20,IF(AND(G27=G20,G28=J18),J20,IF(AND(G27=G21,G28=H18),H21,IF(AND(G27=G21,G28=I18),I21,IF(AND(G27=G21,G28=J18),J21,IF(AND(G27=G22,G28=H18),H22,IF(AND(G27=G22,G28=I18),I22,IF(AND(G27=G22,G28=J18),J22,IF(AND(G27=G23,G28=H18),H23,IF(AND(G27=G23,G28=I18),I23,IF(AND(G27=G23,G28=J18),J23,IF(AND(G27=G24,G28=H18),H24,IF(AND(G27=G24,G28=I18),I24,IF(AND(G27=G24,G28=J18),J24))))))))))))))))))</f>
        <v>7</v>
      </c>
    </row>
    <row r="27" spans="1:10">
      <c r="A27" t="s">
        <v>82</v>
      </c>
      <c r="B27" t="s">
        <v>274</v>
      </c>
      <c r="F27" s="174" t="s">
        <v>74</v>
      </c>
      <c r="G27" s="175" t="str">
        <f>Comparaison!E8</f>
        <v>Indexation 2020</v>
      </c>
      <c r="H27" s="176"/>
    </row>
    <row r="28" spans="1:10" ht="15" thickBot="1">
      <c r="B28" t="s">
        <v>275</v>
      </c>
      <c r="F28" s="177" t="s">
        <v>85</v>
      </c>
      <c r="G28" s="178" t="str">
        <f>Comparaison!E10</f>
        <v>par veau</v>
      </c>
      <c r="H28" s="179"/>
    </row>
    <row r="29" spans="1:10">
      <c r="B29" t="s">
        <v>83</v>
      </c>
    </row>
  </sheetData>
  <sheetProtection algorithmName="SHA-512" hashValue="gnBaz/eNysJneqOSgJ34LEn522yAeUUmZC/dTnodnqll3RQ1+XTu25EHAa7y1YSvJxxoLNp6jOL7uUo+qwhfyg==" saltValue="Hx7tOjR3mTR+1YDnuh1Nfg==" spinCount="100000" sheet="1" selectLockedCells="1" selectUnlockedCells="1"/>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6</vt:i4>
      </vt:variant>
    </vt:vector>
  </HeadingPairs>
  <TitlesOfParts>
    <vt:vector size="6" baseType="lpstr">
      <vt:lpstr>Instructions</vt:lpstr>
      <vt:lpstr>ECP2018</vt:lpstr>
      <vt:lpstr>Comparaison</vt:lpstr>
      <vt:lpstr>Définitions</vt:lpstr>
      <vt:lpstr>Coef+Ind</vt:lpstr>
      <vt:lpstr>Lég_Choix</vt:lpstr>
    </vt:vector>
  </TitlesOfParts>
  <Company>FADQ</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Plamondon, Julie</dc:creator>
  <cp:lastModifiedBy>Desgagné, Jeanne</cp:lastModifiedBy>
  <cp:lastPrinted>2018-06-04T13:30:53Z</cp:lastPrinted>
  <dcterms:created xsi:type="dcterms:W3CDTF">2018-05-29T20:22:25Z</dcterms:created>
  <dcterms:modified xsi:type="dcterms:W3CDTF">2022-06-15T18:58:41Z</dcterms:modified>
</cp:coreProperties>
</file>