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obeildion.sharepoint.com/sites/GDASharepoint/Documents partages/Projets/MAPAQ/Rapports &amp; Livrables/Calculateur GES/"/>
    </mc:Choice>
  </mc:AlternateContent>
  <xr:revisionPtr revIDLastSave="5" documentId="8_{6CC23005-0AE6-4EC8-A4F2-C599C3BE4097}" xr6:coauthVersionLast="47" xr6:coauthVersionMax="47" xr10:uidLastSave="{0705C5B7-11C4-4909-9FD1-F3F04E03B829}"/>
  <bookViews>
    <workbookView xWindow="-108" yWindow="-108" windowWidth="23256" windowHeight="12456" activeTab="1" xr2:uid="{BB179B26-7732-45EC-9690-14E16BDC548D}"/>
  </bookViews>
  <sheets>
    <sheet name="A. Instructions" sheetId="5" r:id="rId1"/>
    <sheet name="B. Calculateur" sheetId="3" r:id="rId2"/>
    <sheet name="C. Hypothès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G9" i="3"/>
  <c r="H9" i="3"/>
  <c r="D10" i="3"/>
  <c r="G10" i="3"/>
  <c r="H10" i="3"/>
  <c r="C12" i="3"/>
  <c r="D12" i="3"/>
  <c r="G12" i="3"/>
  <c r="C13" i="3"/>
  <c r="D13" i="3" s="1"/>
  <c r="G13" i="3"/>
  <c r="H13" i="3"/>
  <c r="G15" i="3"/>
  <c r="C18" i="3"/>
  <c r="E26" i="3" s="1"/>
  <c r="C21" i="3"/>
  <c r="F22" i="3" s="1"/>
  <c r="F24" i="3" s="1"/>
  <c r="C22" i="3"/>
  <c r="C23" i="3"/>
  <c r="B27" i="3"/>
  <c r="F45" i="3"/>
  <c r="B46" i="3"/>
  <c r="B47" i="3"/>
  <c r="E48" i="3"/>
  <c r="E51" i="3"/>
  <c r="B21" i="3" l="1"/>
  <c r="F48" i="3"/>
  <c r="D33" i="3"/>
  <c r="D37" i="3"/>
  <c r="E37" i="3" s="1"/>
  <c r="D35" i="3"/>
  <c r="E35" i="3" s="1"/>
  <c r="D46" i="3" l="1"/>
  <c r="E46" i="3" s="1"/>
  <c r="E33" i="3"/>
  <c r="F33" i="3"/>
  <c r="D34" i="3"/>
  <c r="D39" i="3"/>
  <c r="D47" i="3"/>
  <c r="E47" i="3" s="1"/>
  <c r="D38" i="3"/>
  <c r="D45" i="3"/>
  <c r="E45" i="3" l="1"/>
  <c r="D44" i="3"/>
  <c r="E39" i="3"/>
  <c r="D42" i="3"/>
  <c r="E42" i="3" s="1"/>
  <c r="E34" i="3"/>
  <c r="F34" i="3"/>
  <c r="E38" i="3"/>
  <c r="D41" i="3"/>
  <c r="E41" i="3" s="1"/>
  <c r="E44" i="3" l="1"/>
  <c r="D49" i="3"/>
  <c r="E49" i="3" l="1"/>
  <c r="D50" i="3"/>
  <c r="E50" i="3" s="1"/>
  <c r="D53" i="3"/>
  <c r="D52" i="3"/>
  <c r="F52" i="3" s="1"/>
  <c r="E53" i="3" l="1"/>
  <c r="D54" i="3"/>
  <c r="E54" i="3" s="1"/>
  <c r="G7" i="2" l="1"/>
</calcChain>
</file>

<file path=xl/sharedStrings.xml><?xml version="1.0" encoding="utf-8"?>
<sst xmlns="http://schemas.openxmlformats.org/spreadsheetml/2006/main" count="209" uniqueCount="182">
  <si>
    <t>Mazout</t>
  </si>
  <si>
    <t>Propane</t>
  </si>
  <si>
    <t>Gaz naturel</t>
  </si>
  <si>
    <t>Huile usée</t>
  </si>
  <si>
    <t>Consommation annuelle typique</t>
  </si>
  <si>
    <t>Coût du combustible</t>
  </si>
  <si>
    <t>Efficacité des équipements en place (%)</t>
  </si>
  <si>
    <t>A</t>
  </si>
  <si>
    <t>Voltage de l'entrée électrique</t>
  </si>
  <si>
    <t>V</t>
  </si>
  <si>
    <t>Accès au réseau triphasé</t>
  </si>
  <si>
    <t>Pouvoir calorifique</t>
  </si>
  <si>
    <t>Consommation équivalente électrique</t>
  </si>
  <si>
    <t>Combustible</t>
  </si>
  <si>
    <t>Unité</t>
  </si>
  <si>
    <t xml:space="preserve">L </t>
  </si>
  <si>
    <t>$/unité</t>
  </si>
  <si>
    <t>$/L</t>
  </si>
  <si>
    <t>$/m3</t>
  </si>
  <si>
    <t>kW</t>
  </si>
  <si>
    <t>Oui</t>
  </si>
  <si>
    <t>Non</t>
  </si>
  <si>
    <t>Eau chaude</t>
  </si>
  <si>
    <t>Facteur d'émission GES</t>
  </si>
  <si>
    <t>kWh/L</t>
  </si>
  <si>
    <t>kg CO2eq/L</t>
  </si>
  <si>
    <t>Électricité</t>
  </si>
  <si>
    <t>$/kWh</t>
  </si>
  <si>
    <t>kWh/m3</t>
  </si>
  <si>
    <t xml:space="preserve">Puissance d'équipement équivalent électrique </t>
  </si>
  <si>
    <t>BTU/h</t>
  </si>
  <si>
    <t>Unité GES</t>
  </si>
  <si>
    <t>Unité PC</t>
  </si>
  <si>
    <t>Efficacité</t>
  </si>
  <si>
    <t>kWh</t>
  </si>
  <si>
    <t>Type de combustible</t>
  </si>
  <si>
    <t>$/kW</t>
  </si>
  <si>
    <t>kg CO2eq/m3</t>
  </si>
  <si>
    <t>*Acquisition et installation incluses</t>
  </si>
  <si>
    <t>Aide financière estimée</t>
  </si>
  <si>
    <t>Proportion du coût du projet</t>
  </si>
  <si>
    <t>Notes</t>
  </si>
  <si>
    <t>Efficacité des équipements</t>
  </si>
  <si>
    <t>Économies</t>
  </si>
  <si>
    <t>Économies annuelles de chauffage</t>
  </si>
  <si>
    <t>Économies annuelles de GES</t>
  </si>
  <si>
    <t>Consommation annuelle</t>
  </si>
  <si>
    <t>Coûts d'acquisition</t>
  </si>
  <si>
    <t>Équipements actuels</t>
  </si>
  <si>
    <t>1. DONNÉES ET VARIABLES</t>
  </si>
  <si>
    <t>2. HYPOTHÈSES ET CONSTANTES</t>
  </si>
  <si>
    <t>Période de retour sur investissement (sans aide financière)</t>
  </si>
  <si>
    <t>Période de retour sur investissement (avec aide financière)</t>
  </si>
  <si>
    <t>tCO2eq/L</t>
  </si>
  <si>
    <t>tCO2eq/m3</t>
  </si>
  <si>
    <t>Unité tGES</t>
  </si>
  <si>
    <t>$/année</t>
  </si>
  <si>
    <t>kg CO2eq/kWh</t>
  </si>
  <si>
    <t>tCO2eq/kWh</t>
  </si>
  <si>
    <t>Outil d'aide à la décision</t>
  </si>
  <si>
    <t>Émissions de GES annuelles</t>
  </si>
  <si>
    <t>Coûts de chauffage électrique annuels</t>
  </si>
  <si>
    <t>4. RECOMMANDATIONS, FACTEURS DE VARIABILITÉ ET AUTRES CONSIDÉRATIONS</t>
  </si>
  <si>
    <t>5. PROCHAINES ÉTAPES DE PROJET</t>
  </si>
  <si>
    <t>Coûts typiques équipement électrique</t>
  </si>
  <si>
    <t>Notes sur le budget:</t>
  </si>
  <si>
    <t>Notes sur les équipements:</t>
  </si>
  <si>
    <t>Oui/non</t>
  </si>
  <si>
    <t>Distribution</t>
  </si>
  <si>
    <t>Unité puissance</t>
  </si>
  <si>
    <t>$/unité2</t>
  </si>
  <si>
    <t>Tarif HQ ($)</t>
  </si>
  <si>
    <t>Tarif HQ (nom)</t>
  </si>
  <si>
    <t>G, M ou G9</t>
  </si>
  <si>
    <t>Tarif Hydro-Québec actuel</t>
  </si>
  <si>
    <t>D, DP ou DM</t>
  </si>
  <si>
    <t>Source:</t>
  </si>
  <si>
    <t>Transition Énergétique Québec</t>
  </si>
  <si>
    <t>Hydro-Québec</t>
  </si>
  <si>
    <t xml:space="preserve">Les prochaines étapes suivantes sont présentées à titre informatif. Elles permettront d'aller préciser certaines informations du projet. </t>
  </si>
  <si>
    <t>Dimensionnement des équipements</t>
  </si>
  <si>
    <t>Instructions:</t>
  </si>
  <si>
    <t>• Les éléments suivants ne sont pas inclus dans les coûts présentés et pourraient être à rajoutés au budget de projet total selon le cas:</t>
  </si>
  <si>
    <t xml:space="preserve">• Aucun coût de remplacement des équipements de chauffage au combustible fossile désuets ne sont inclus dans les estimations budgétaires présentées. </t>
  </si>
  <si>
    <t>• Les montants budgétaires utilisés dans les calculs de résultats reflètent les coûts généraux du marché en 2023 pour ce type d'équipement. Les coûts pourraient fluctuer en fonction du marché et être revus à la hausse pour certaines situations.</t>
  </si>
  <si>
    <t>• Il est assumé qu'un système de chauffage au combustible fossile à air chaud ou à eau chaude soit installé préalablement dans les serres.</t>
  </si>
  <si>
    <t xml:space="preserve">• Il est assumé que les équipements actuels sont réutilisés pour la distribution de chaleur avec le système de chauffage électrique. </t>
  </si>
  <si>
    <t xml:space="preserve">• Le concept et l'intégration d'un système de chauffage électrique peuvent varier en fonction de plusieurs facteurs, notamment en raison des équipements actuels et leur configuration dans les serres. Dans certains cas, ces facteurs pourraient avoir une incidence sur les coûts et la faisabilité technique du projet. </t>
  </si>
  <si>
    <t>• Évaluer les aides financières potentielles applicables pour le projet et les dépenses admissibles:</t>
  </si>
  <si>
    <t>– Transition Énergétique Québec, programme ÉcoPerformance (implantation simplifiée);</t>
  </si>
  <si>
    <t>– Ministère des Ressources Naturelles et des Forêts, programme d'extention du réseau triphasé (si applicable);</t>
  </si>
  <si>
    <t>– Raccordement électrique des équipements;</t>
  </si>
  <si>
    <t>– Aérothermes au combustible fossile (en système d'appoint ou pour l'utilisation du ventilateur centrifuge intégré);</t>
  </si>
  <si>
    <t>– Frais de gestion de projet;</t>
  </si>
  <si>
    <t xml:space="preserve">– Contingences. </t>
  </si>
  <si>
    <t>RESSOURCES</t>
  </si>
  <si>
    <t>Ferblanterie</t>
  </si>
  <si>
    <t xml:space="preserve">• Demandes de soumissions et précision du budget de projet. </t>
  </si>
  <si>
    <t>Voltage entrée électrique</t>
  </si>
  <si>
    <t>Voltage pour calcul</t>
  </si>
  <si>
    <t>unités</t>
  </si>
  <si>
    <t xml:space="preserve">Puissance brute totale des équipements </t>
  </si>
  <si>
    <t>Nombre d'unité installée</t>
  </si>
  <si>
    <t>Nombre d'unités électriques</t>
  </si>
  <si>
    <t>Budget de projet estimé</t>
  </si>
  <si>
    <t>Autres coûts de budget (si applicable)</t>
  </si>
  <si>
    <t>Raccordement électrique et contrôle</t>
  </si>
  <si>
    <t>Équipements électriques (acquisition et installation)</t>
  </si>
  <si>
    <t>• Les montants budgétaires présentés dans cet outil incluent les éléments suivants:</t>
  </si>
  <si>
    <t>3. RÉSULTATS</t>
  </si>
  <si>
    <t>• Remplir les cases grises dans la section 1 (Données et Variables), la section 2 (Hypothèses et Constantes) et la section 3 (Résultats)</t>
  </si>
  <si>
    <t>Sous-total</t>
  </si>
  <si>
    <t>Sous-total (avec aide financière)</t>
  </si>
  <si>
    <t>Équipements</t>
  </si>
  <si>
    <t>120/240 V (monophasé)</t>
  </si>
  <si>
    <t>347/600 V (triphasé)</t>
  </si>
  <si>
    <t>BHP</t>
  </si>
  <si>
    <t>Type d'équipement</t>
  </si>
  <si>
    <t>Âge approximatif des équipements</t>
  </si>
  <si>
    <t>Efficacité éq.</t>
  </si>
  <si>
    <t>Âge des éq.</t>
  </si>
  <si>
    <t>Mise en contexte</t>
  </si>
  <si>
    <t xml:space="preserve">• Assurez-vous de bien lire les instructions et la mise en contexte avant d'utiliser l'outil. </t>
  </si>
  <si>
    <t>• Vous aurez besoin des informations suivantes pour utiliser le calculteur. Assurez-vous de les rassembler avant de débuter:</t>
  </si>
  <si>
    <t>– Votre tarif d'Hydro-Québec actuel.</t>
  </si>
  <si>
    <t>• Remplir les cases grises dans la section 1 (Données et Variables), la section 2 (Hypothèses et Constantes) et la section 3 (Résultats).</t>
  </si>
  <si>
    <t>Aérotherme/fournaise (efficacité standard)</t>
  </si>
  <si>
    <t>Aérotherme/fournaise (haute efficacité)</t>
  </si>
  <si>
    <t>Les résultats apparaîteront seulement si toutes les cases grises de la section 1. et la section 2. sont remplies.</t>
  </si>
  <si>
    <t>Type de distribution</t>
  </si>
  <si>
    <r>
      <t>m</t>
    </r>
    <r>
      <rPr>
        <vertAlign val="superscript"/>
        <sz val="11"/>
        <color theme="1"/>
        <rFont val="Segoe UI"/>
        <family val="2"/>
      </rPr>
      <t>3</t>
    </r>
  </si>
  <si>
    <t>Facteur d'émission en GES</t>
  </si>
  <si>
    <t>Serpentin électrique*</t>
  </si>
  <si>
    <t>Chaudière électrique*</t>
  </si>
  <si>
    <t>Coût de l'électricité</t>
  </si>
  <si>
    <t>• Le but du calculateur est d'évaluer les potentiels économique et environnemental permettant aux entreprises ayant déjà un système de chauffage au combustible fossile existant d'analyser les coûts et avantages associés au remplacement de leur système en comparaison avec l'implantation d'un système de chauffage électrique résistif.</t>
  </si>
  <si>
    <t xml:space="preserve">• L'outil est conçu de manière à être utilisé pour une ou plusieurs serres ayant les mêmes caractéristiques. Dans l'éventualité où des serres ont des caractéristiques différentes (ex: combustibles différents, réseau de distribution différents, etc.), regrouper les infrastructures similaires en "zones" et réutiliser l'outil pour chacune des zones. </t>
  </si>
  <si>
    <t>– Coût du combustible (en $/unité ou coût annuel);</t>
  </si>
  <si>
    <t>– Spécifications sur l'entrée électrique (capacité de l'entrée électrique actuelle (A), utilisation actuelle de l'entrée électrique (A), voltage de l'entrée électrique (V), accès au réseau triphasé);</t>
  </si>
  <si>
    <t>* Les résultats (section 3) apparaîtront lorsque toutes les cases grises auront été remplies</t>
  </si>
  <si>
    <t>* Certaines cases deviendront rouges si les données entrées ne sont pas adéquates</t>
  </si>
  <si>
    <t>* Certains avertissements apparaîtront au fur et à mesure, si applicable</t>
  </si>
  <si>
    <t>• L'outil est conçu pour calculer la consommation électrique équivalente pour un producteur souhaitant garder la même période de production et les mêmes consignes de production que ce qu'il fait actuellement. L'outil n'est pas conçu pour simuler une plus longue période de production.</t>
  </si>
  <si>
    <t>– Consommation annuelle typique du combustible actuel;</t>
  </si>
  <si>
    <t>– Spécifications des équipements actuellement en place (type d'équipement, âge des équipements, type de distribution (air chaud/eau chaude), nombre d'unités installées, puissance totale des équipements);</t>
  </si>
  <si>
    <r>
      <rPr>
        <b/>
        <i/>
        <sz val="10"/>
        <rFont val="Segoe UI"/>
        <family val="2"/>
      </rPr>
      <t>Mise en garde:</t>
    </r>
    <r>
      <rPr>
        <i/>
        <sz val="10"/>
        <rFont val="Segoe UI"/>
        <family val="2"/>
      </rPr>
      <t xml:space="preserve"> l'utilisateur est l'unique responsable des résultats obtenus à la suite de l'utilisation de l'outil. </t>
    </r>
  </si>
  <si>
    <t>• Consulter la section 3 (Résultats)</t>
  </si>
  <si>
    <t>• Consulter la section 4 (Recommandations, facteurs de variabilité et prochaines étapes)</t>
  </si>
  <si>
    <t>– Raccordement au système de contrôle.</t>
  </si>
  <si>
    <t>• Valider la période et les consignes de production voulues, afin de prévoir un dimensionnement adéquat des équipements électriques (si applicable);</t>
  </si>
  <si>
    <t>• Valider la capacité de l'entrée électrique et l'ampérage disponible auprès d'un électricien;</t>
  </si>
  <si>
    <t>• Valider la faisabilité technique d'installation avec un fournisseur d'équipement ou un professionnel (ingénieur);</t>
  </si>
  <si>
    <t>• Définir le concept d'intégration du système de chauffage électrique au système de chauffage actuel (s'il sera réutilisé pour la distribution);</t>
  </si>
  <si>
    <t>• Valider l'état des équipements de chauffage actuels au combustible fossile et valider s'ils peuvent être réutilisés pour la distribution;</t>
  </si>
  <si>
    <t>– Ministère de l'Agriculture, des Pêcheries et de l'Alimentation du Québec (MAPAQ), Initiative ministérielle pour le développement des serres et des grands tunnels​;</t>
  </si>
  <si>
    <t>• Application aux programmes d'aide financière, si applicable;</t>
  </si>
  <si>
    <t>– Acquisition et installation des équipements électriques;</t>
  </si>
  <si>
    <t>• Le coût de l'électricité est présenté selon les tarifs d'option d'électricité additionnelle pour l'éclairage de photosynthèse ou le chauffage des espaces destinés à la culture de végétaux en date d'avril 2023. Le tarif d'électricité additionnelle englobe à la fois la puissance (kW) et l'énergie (kWh).</t>
  </si>
  <si>
    <t>• La puissance requise du ventilateur centrifuge pour le fonctionnement adéquat des équipements devra être validée avec un fournisseur d'équipement ou l'entrepreneur responsable de l'installation.</t>
  </si>
  <si>
    <t>• Valider si le réseau triphasé se situe près du site de production dans le cas des entrées électriques monophasées;</t>
  </si>
  <si>
    <t>• Obtenir une estimation budgétaire pour les coûts non pris en compte dans le calculateur (par ex. l'entrée électrique) auprès d'un électricien et entrer ce coût additionnel dans le calculateur afin d'obtenir un budget de projet et une période de retour d'investissement plus précis;</t>
  </si>
  <si>
    <r>
      <t xml:space="preserve">Programme d'extension au réseau triphasé: </t>
    </r>
    <r>
      <rPr>
        <sz val="10"/>
        <color theme="1"/>
        <rFont val="Segoe UI"/>
        <family val="2"/>
      </rPr>
      <t>https://transitionenergetique.gouv.qc.ca/affaires/programmes/acces-reseau-triphase</t>
    </r>
  </si>
  <si>
    <r>
      <t xml:space="preserve">Programme ÉcoPerformance (implantation simplifiée): </t>
    </r>
    <r>
      <rPr>
        <sz val="10"/>
        <color theme="1"/>
        <rFont val="Segoe UI"/>
        <family val="2"/>
      </rPr>
      <t>https://transitionenergetique.gouv.qc.ca/affaires/programmes/ecoperformance/implantation-simplifiee</t>
    </r>
  </si>
  <si>
    <r>
      <t xml:space="preserve">Initiative ministérielle pour le développement des serres et des grands tunnels: </t>
    </r>
    <r>
      <rPr>
        <sz val="10"/>
        <color theme="1"/>
        <rFont val="Segoe UI"/>
        <family val="2"/>
      </rPr>
      <t>https://www.mapaq.gouv.qc.ca/fr/Productions/md/programmesliste/efficaciteenergetique/Pages/Initiative-ministerielle-developpement-serres.aspx</t>
    </r>
  </si>
  <si>
    <t>30 ans et moins</t>
  </si>
  <si>
    <t>30 ans et plus</t>
  </si>
  <si>
    <t>Ampérage nécessaire sur l'entrée électrique</t>
  </si>
  <si>
    <t>Chaudière/bouilloire (efficacité standard)</t>
  </si>
  <si>
    <t>Chaudière/bouilloire (haute efficacité)</t>
  </si>
  <si>
    <t xml:space="preserve">• L'efficacité des équipements indiquée dans la section 1 du calculateur est une estimation. L'efficacité réelle dépend de plusieurs facteurs, notamment au niveau de l'entretien des équipements au fil des années. </t>
  </si>
  <si>
    <t>– Entrée électrique (agrandissement ou nouvelle entrée électrique);</t>
  </si>
  <si>
    <t>• Il est à noter que le programme ÉcoPerformance (implantation simplifée) de Transition Énergétique Québec subventionne uniquement les équipements électriques si le système de chauffage actuel est au mazout ou au propane.</t>
  </si>
  <si>
    <t>• Pour les équipements à l'air chaud, selon la configuration et l'intégration des équipements électriques au système de chauffage, il se pourrait que l'utilisation simultanée des équipements électriques et au combustible fossile ne soit pas possible.</t>
  </si>
  <si>
    <t>• Dans le cas où l'accès au réseau triphasé n'est pas possible, les équipements de chauffage électrique pourraient être dimensionnés sur le réseau monophasé. Par contre, une plus grande capacité (ampérage) est à prévoir pour des équipements de la même puissance de chauffage. Une validation de la faisabilité de ce type de projet auprès d'un électricien est nécessaire.</t>
  </si>
  <si>
    <t xml:space="preserve">• Les équipements de chauffage électrique ont été dimensionnés à la même puissance que les équipements de chauffage actuellement installés dans la serre. À titre informatif, la puissance des équipements électriques installés pourraient être diminuée en couvrant toujours une portion importante des besoins thermiques des serres. </t>
  </si>
  <si>
    <t>• Dans la section 3 du calculateur, l'ampérage disponible est calculé sur une entrée triphasée (actuelle ou nouvelle).</t>
  </si>
  <si>
    <t>– Ferblanterie pour le système de distribution (si applicable);</t>
  </si>
  <si>
    <t>Capacité totale de l'entrée électrique actuelle</t>
  </si>
  <si>
    <t>Air chaud (avec ballons)</t>
  </si>
  <si>
    <t>Calculateur des économies reliées à la conversion d'un système de chauffage au combustible fossile vers un système de chauffage électrique résistif</t>
  </si>
  <si>
    <t xml:space="preserve">• L'outil est conçu pour un producteur ayant des installations existantes, puisqu'il calcule la consommation électrique en fonction de la consommation annuelle typique de l'entreprise. Les budgets sont également basés sur l'utilisation des équipements déjà en place. </t>
  </si>
  <si>
    <t>• Le calculateur est un outil pour évaluer la conversion d'un système de chauffage au combustible fossile vers l'électricité pour une production existante (mêmes caractéristiques). Assurez vous d'avoir bien consulté l'onglet A. Instructions avant de débuter l'utilisation du calculateur.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</si>
</sst>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_ ;_ * \(#,##0.00\)_ ;_ * &quot;-&quot;??_)_ ;_ @_ "/>
    <numFmt numFmtId="164" formatCode="0.000"/>
    <numFmt numFmtId="165" formatCode="_ * #,##0_)_ ;_ * \(#,##0\)_ ;_ * &quot;-&quot;??_)_ ;_ @_ "/>
    <numFmt numFmtId="166" formatCode="_ * #,##0.00000_)_ ;_ * \(#,##0.00000\)_ ;_ * &quot;-&quot;??_)_ ;_ @_ "/>
    <numFmt numFmtId="167" formatCode="_ * #,##0.0_)_ ;_ * \(#,##0.0\)_ ;_ * &quot;-&quot;??_)_ ;_ @_ "/>
    <numFmt numFmtId="168" formatCode="_ * #,##0.000000_)_ ;_ * \(#,##0.000000\)_ ;_ * &quot;-&quot;??_)_ ;_ @_ "/>
    <numFmt numFmtId="169" formatCode="_ * #,##0_)\ %_ ;_ * \(#,##0\)\ %_ ;_ * &quot;-&quot;_)\ \%_ ;_ @_ "/>
  </numFmts>
  <fonts count="28" x14ac:knownFonts="1">
    <font>
      <sz val="11"/>
      <color theme="1"/>
      <name val="Halis GR Book"/>
      <family val="2"/>
    </font>
    <font>
      <sz val="11"/>
      <color theme="1"/>
      <name val="Halis GR Book"/>
      <family val="2"/>
    </font>
    <font>
      <sz val="10"/>
      <color theme="1"/>
      <name val="Segoe UI"/>
      <family val="2"/>
    </font>
    <font>
      <b/>
      <sz val="10"/>
      <color theme="1"/>
      <name val="Segoe UI"/>
      <family val="2"/>
    </font>
    <font>
      <b/>
      <sz val="10"/>
      <color theme="0"/>
      <name val="Segoe UI"/>
      <family val="2"/>
    </font>
    <font>
      <sz val="10"/>
      <color theme="0"/>
      <name val="Segoe UI"/>
      <family val="2"/>
    </font>
    <font>
      <i/>
      <sz val="10"/>
      <color theme="1"/>
      <name val="Segoe UI"/>
      <family val="2"/>
    </font>
    <font>
      <b/>
      <i/>
      <sz val="10"/>
      <color theme="0"/>
      <name val="Segoe UI"/>
      <family val="2"/>
    </font>
    <font>
      <b/>
      <sz val="10"/>
      <color theme="3"/>
      <name val="Segoe UI"/>
      <family val="2"/>
    </font>
    <font>
      <sz val="10"/>
      <name val="Segoe UI"/>
      <family val="2"/>
    </font>
    <font>
      <b/>
      <sz val="10"/>
      <name val="Segoe UI"/>
      <family val="2"/>
    </font>
    <font>
      <b/>
      <sz val="12"/>
      <color theme="1"/>
      <name val="Segoe UI"/>
      <family val="2"/>
    </font>
    <font>
      <sz val="12"/>
      <color theme="1"/>
      <name val="Segoe UI"/>
      <family val="2"/>
    </font>
    <font>
      <sz val="8"/>
      <name val="Halis GR Book"/>
      <family val="2"/>
    </font>
    <font>
      <sz val="10"/>
      <color theme="1"/>
      <name val="Segoe UI"/>
      <family val="3"/>
    </font>
    <font>
      <b/>
      <sz val="11"/>
      <color theme="0"/>
      <name val="Segoe UI"/>
      <family val="2"/>
    </font>
    <font>
      <i/>
      <sz val="10"/>
      <name val="Segoe UI"/>
      <family val="2"/>
    </font>
    <font>
      <b/>
      <sz val="11"/>
      <color theme="1"/>
      <name val="Segoe UI"/>
      <family val="2"/>
    </font>
    <font>
      <sz val="11"/>
      <color theme="1"/>
      <name val="Segoe UI"/>
      <family val="2"/>
    </font>
    <font>
      <vertAlign val="superscript"/>
      <sz val="11"/>
      <color theme="1"/>
      <name val="Segoe UI"/>
      <family val="2"/>
    </font>
    <font>
      <sz val="10"/>
      <color rgb="FF9C0006"/>
      <name val="Segoe UI"/>
      <family val="2"/>
    </font>
    <font>
      <i/>
      <sz val="10"/>
      <color rgb="FF9C0006"/>
      <name val="Segoe UI"/>
      <family val="2"/>
    </font>
    <font>
      <b/>
      <sz val="16"/>
      <name val="Segoe UI"/>
      <family val="2"/>
    </font>
    <font>
      <sz val="14"/>
      <name val="Segoe UI"/>
      <family val="2"/>
    </font>
    <font>
      <sz val="12"/>
      <name val="Segoe UI"/>
      <family val="2"/>
    </font>
    <font>
      <b/>
      <sz val="12"/>
      <name val="Segoe UI"/>
      <family val="2"/>
    </font>
    <font>
      <b/>
      <i/>
      <sz val="10"/>
      <name val="Segoe UI"/>
      <family val="2"/>
    </font>
    <font>
      <b/>
      <sz val="14"/>
      <color theme="1"/>
      <name val="Segoe UI"/>
      <family val="2"/>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2" fillId="0" borderId="0" xfId="0" applyFont="1" applyAlignment="1" applyProtection="1">
      <alignment vertical="center"/>
      <protection hidden="1"/>
    </xf>
    <xf numFmtId="0" fontId="1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11" fillId="0" borderId="0" xfId="0" applyFont="1" applyAlignment="1" applyProtection="1">
      <alignment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0" fontId="15" fillId="2" borderId="1"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vertical="center"/>
      <protection hidden="1"/>
    </xf>
    <xf numFmtId="0" fontId="3" fillId="4" borderId="11" xfId="0" applyFont="1" applyFill="1" applyBorder="1" applyAlignment="1" applyProtection="1">
      <alignment vertical="center"/>
      <protection hidden="1"/>
    </xf>
    <xf numFmtId="165" fontId="2" fillId="4" borderId="10" xfId="1" applyNumberFormat="1" applyFont="1" applyFill="1" applyBorder="1" applyAlignment="1" applyProtection="1">
      <alignment horizontal="center" vertical="center"/>
      <protection hidden="1"/>
    </xf>
    <xf numFmtId="0" fontId="2" fillId="4" borderId="9" xfId="0" applyFont="1" applyFill="1" applyBorder="1" applyAlignment="1" applyProtection="1">
      <alignment vertical="center"/>
      <protection hidden="1"/>
    </xf>
    <xf numFmtId="0" fontId="6" fillId="0" borderId="0" xfId="0" applyFont="1" applyAlignment="1" applyProtection="1">
      <alignment vertical="center"/>
      <protection hidden="1"/>
    </xf>
    <xf numFmtId="0" fontId="3" fillId="4" borderId="6" xfId="0" applyFont="1" applyFill="1" applyBorder="1" applyAlignment="1" applyProtection="1">
      <alignment vertical="center"/>
      <protection hidden="1"/>
    </xf>
    <xf numFmtId="43" fontId="2" fillId="4" borderId="7" xfId="1" applyFont="1" applyFill="1" applyBorder="1" applyAlignment="1" applyProtection="1">
      <alignment horizontal="center" vertical="center"/>
      <protection hidden="1"/>
    </xf>
    <xf numFmtId="0" fontId="2" fillId="4" borderId="8" xfId="0" applyFont="1" applyFill="1" applyBorder="1" applyAlignment="1" applyProtection="1">
      <alignment vertical="center"/>
      <protection hidden="1"/>
    </xf>
    <xf numFmtId="0" fontId="2" fillId="3" borderId="15" xfId="0" applyFont="1" applyFill="1" applyBorder="1" applyAlignment="1" applyProtection="1">
      <alignment horizontal="left" vertical="center" indent="1"/>
      <protection hidden="1"/>
    </xf>
    <xf numFmtId="0" fontId="2" fillId="3" borderId="14" xfId="0" applyFont="1" applyFill="1" applyBorder="1" applyAlignment="1" applyProtection="1">
      <alignment vertical="center"/>
      <protection hidden="1"/>
    </xf>
    <xf numFmtId="0" fontId="2" fillId="3" borderId="4" xfId="0" applyFont="1" applyFill="1" applyBorder="1" applyAlignment="1" applyProtection="1">
      <alignment horizontal="left" vertical="center" indent="1"/>
      <protection hidden="1"/>
    </xf>
    <xf numFmtId="43" fontId="2" fillId="3" borderId="15" xfId="1" applyFont="1" applyFill="1" applyBorder="1" applyAlignment="1" applyProtection="1">
      <alignment horizontal="center" vertical="center"/>
      <protection hidden="1"/>
    </xf>
    <xf numFmtId="0" fontId="2" fillId="3" borderId="5" xfId="0" applyFont="1" applyFill="1" applyBorder="1" applyAlignment="1" applyProtection="1">
      <alignment vertical="center"/>
      <protection hidden="1"/>
    </xf>
    <xf numFmtId="0" fontId="2" fillId="3" borderId="14" xfId="0" applyFont="1" applyFill="1" applyBorder="1" applyAlignment="1" applyProtection="1">
      <alignment horizontal="left" vertical="center" indent="1"/>
      <protection hidden="1"/>
    </xf>
    <xf numFmtId="0" fontId="2" fillId="3" borderId="11" xfId="0" applyFont="1" applyFill="1" applyBorder="1" applyAlignment="1" applyProtection="1">
      <alignment horizontal="left" vertical="center" indent="1"/>
      <protection hidden="1"/>
    </xf>
    <xf numFmtId="43" fontId="2" fillId="3" borderId="14" xfId="1" applyFont="1" applyFill="1" applyBorder="1" applyAlignment="1" applyProtection="1">
      <alignment horizontal="center" vertical="center"/>
      <protection hidden="1"/>
    </xf>
    <xf numFmtId="0" fontId="2" fillId="3" borderId="9" xfId="0" applyFont="1" applyFill="1" applyBorder="1" applyAlignment="1" applyProtection="1">
      <alignment vertical="center"/>
      <protection hidden="1"/>
    </xf>
    <xf numFmtId="0" fontId="2" fillId="3" borderId="17" xfId="0" applyFont="1" applyFill="1" applyBorder="1" applyAlignment="1" applyProtection="1">
      <alignment horizontal="left" vertical="center" indent="1"/>
      <protection hidden="1"/>
    </xf>
    <xf numFmtId="43" fontId="2" fillId="3" borderId="13" xfId="1" applyFont="1" applyFill="1" applyBorder="1" applyAlignment="1" applyProtection="1">
      <alignment horizontal="right" vertical="center"/>
      <protection hidden="1"/>
    </xf>
    <xf numFmtId="169" fontId="2" fillId="3" borderId="15" xfId="2" applyNumberFormat="1" applyFont="1" applyFill="1" applyBorder="1" applyAlignment="1" applyProtection="1">
      <alignment horizontal="right" vertical="center"/>
      <protection hidden="1"/>
    </xf>
    <xf numFmtId="0" fontId="2" fillId="3" borderId="15" xfId="0" applyFont="1" applyFill="1" applyBorder="1" applyAlignment="1" applyProtection="1">
      <alignment vertical="center"/>
      <protection hidden="1"/>
    </xf>
    <xf numFmtId="43" fontId="2" fillId="0" borderId="14" xfId="1" applyFont="1" applyFill="1" applyBorder="1" applyAlignment="1" applyProtection="1">
      <alignment horizontal="right" vertical="center"/>
      <protection hidden="1"/>
    </xf>
    <xf numFmtId="0" fontId="2" fillId="0" borderId="14" xfId="0" applyFont="1" applyBorder="1" applyAlignment="1" applyProtection="1">
      <alignment vertical="center"/>
      <protection hidden="1"/>
    </xf>
    <xf numFmtId="168" fontId="2" fillId="3" borderId="14" xfId="1" applyNumberFormat="1" applyFont="1" applyFill="1" applyBorder="1" applyAlignment="1" applyProtection="1">
      <alignment horizontal="center" vertical="center"/>
      <protection hidden="1"/>
    </xf>
    <xf numFmtId="0" fontId="2" fillId="3" borderId="8" xfId="0" applyFont="1" applyFill="1" applyBorder="1" applyAlignment="1" applyProtection="1">
      <alignment vertical="center"/>
      <protection hidden="1"/>
    </xf>
    <xf numFmtId="166" fontId="2" fillId="3" borderId="14" xfId="1" applyNumberFormat="1" applyFont="1" applyFill="1" applyBorder="1" applyAlignment="1" applyProtection="1">
      <alignment horizontal="center" vertical="center"/>
      <protection hidden="1"/>
    </xf>
    <xf numFmtId="0" fontId="9" fillId="3" borderId="14" xfId="0" applyFont="1" applyFill="1" applyBorder="1" applyAlignment="1" applyProtection="1">
      <alignment horizontal="left" vertical="center" indent="1"/>
      <protection hidden="1"/>
    </xf>
    <xf numFmtId="165" fontId="2" fillId="3" borderId="15" xfId="1" applyNumberFormat="1" applyFont="1" applyFill="1" applyBorder="1" applyAlignment="1" applyProtection="1">
      <alignment horizontal="right" vertical="center"/>
      <protection hidden="1"/>
    </xf>
    <xf numFmtId="169" fontId="2" fillId="0" borderId="14" xfId="2" applyNumberFormat="1" applyFont="1" applyFill="1" applyBorder="1" applyAlignment="1" applyProtection="1">
      <alignment horizontal="right" vertical="center"/>
      <protection hidden="1"/>
    </xf>
    <xf numFmtId="165" fontId="2" fillId="0" borderId="14" xfId="1" applyNumberFormat="1" applyFont="1" applyFill="1" applyBorder="1" applyAlignment="1" applyProtection="1">
      <alignment horizontal="center" vertical="center"/>
      <protection hidden="1"/>
    </xf>
    <xf numFmtId="0" fontId="2" fillId="0" borderId="5" xfId="0" applyFont="1" applyBorder="1" applyAlignment="1" applyProtection="1">
      <alignment vertical="center"/>
      <protection hidden="1"/>
    </xf>
    <xf numFmtId="165" fontId="6" fillId="0" borderId="14" xfId="1" applyNumberFormat="1" applyFont="1" applyFill="1" applyBorder="1" applyAlignment="1" applyProtection="1">
      <alignment horizontal="right" vertical="center"/>
      <protection hidden="1"/>
    </xf>
    <xf numFmtId="0" fontId="6" fillId="0" borderId="14" xfId="0" applyFont="1" applyBorder="1" applyAlignment="1" applyProtection="1">
      <alignment vertical="center"/>
      <protection hidden="1"/>
    </xf>
    <xf numFmtId="0" fontId="6" fillId="0" borderId="12" xfId="0" applyFont="1" applyBorder="1" applyAlignment="1" applyProtection="1">
      <alignment horizontal="left" vertical="center" wrapText="1"/>
      <protection hidden="1"/>
    </xf>
    <xf numFmtId="0" fontId="2" fillId="3" borderId="14" xfId="0" applyFont="1" applyFill="1" applyBorder="1" applyAlignment="1" applyProtection="1">
      <alignment horizontal="left" vertical="center" wrapText="1" indent="1"/>
      <protection hidden="1"/>
    </xf>
    <xf numFmtId="0" fontId="0" fillId="0" borderId="0" xfId="0" applyProtection="1">
      <protection hidden="1"/>
    </xf>
    <xf numFmtId="3" fontId="0" fillId="0" borderId="0" xfId="0" applyNumberFormat="1" applyProtection="1">
      <protection hidden="1"/>
    </xf>
    <xf numFmtId="0" fontId="5" fillId="0" borderId="0" xfId="0" applyFont="1" applyAlignment="1" applyProtection="1">
      <alignment vertical="center"/>
      <protection hidden="1"/>
    </xf>
    <xf numFmtId="0" fontId="16" fillId="0" borderId="0" xfId="0" applyFont="1" applyAlignment="1" applyProtection="1">
      <alignment vertical="center"/>
      <protection hidden="1"/>
    </xf>
    <xf numFmtId="0" fontId="4" fillId="0" borderId="0" xfId="0" applyFont="1" applyAlignment="1" applyProtection="1">
      <alignment vertical="center"/>
      <protection hidden="1"/>
    </xf>
    <xf numFmtId="0" fontId="7" fillId="0" borderId="0" xfId="0" applyFont="1" applyAlignment="1" applyProtection="1">
      <alignment horizontal="left" vertical="center"/>
      <protection hidden="1"/>
    </xf>
    <xf numFmtId="165" fontId="8" fillId="4" borderId="0" xfId="1" applyNumberFormat="1" applyFont="1" applyFill="1" applyBorder="1" applyAlignment="1" applyProtection="1">
      <alignment vertical="center"/>
      <protection hidden="1"/>
    </xf>
    <xf numFmtId="0" fontId="8" fillId="4" borderId="0" xfId="0" applyFont="1" applyFill="1" applyAlignment="1" applyProtection="1">
      <alignment vertical="center"/>
      <protection hidden="1"/>
    </xf>
    <xf numFmtId="0" fontId="8" fillId="4" borderId="5" xfId="0" applyFont="1" applyFill="1" applyBorder="1" applyAlignment="1" applyProtection="1">
      <alignment vertical="center"/>
      <protection hidden="1"/>
    </xf>
    <xf numFmtId="165" fontId="10" fillId="0" borderId="9" xfId="1" applyNumberFormat="1" applyFont="1" applyFill="1" applyBorder="1" applyAlignment="1" applyProtection="1">
      <alignment vertical="center"/>
      <protection hidden="1"/>
    </xf>
    <xf numFmtId="0" fontId="10" fillId="3" borderId="14" xfId="0" applyFont="1" applyFill="1" applyBorder="1" applyAlignment="1" applyProtection="1">
      <alignment vertical="center"/>
      <protection hidden="1"/>
    </xf>
    <xf numFmtId="0" fontId="9" fillId="0" borderId="11" xfId="0" applyFont="1" applyBorder="1" applyAlignment="1" applyProtection="1">
      <alignment horizontal="left" vertical="center" indent="1"/>
      <protection hidden="1"/>
    </xf>
    <xf numFmtId="0" fontId="9" fillId="3" borderId="9" xfId="0" applyFont="1" applyFill="1" applyBorder="1" applyAlignment="1" applyProtection="1">
      <alignment vertical="center"/>
      <protection hidden="1"/>
    </xf>
    <xf numFmtId="165" fontId="10" fillId="3" borderId="14" xfId="1" applyNumberFormat="1" applyFont="1" applyFill="1" applyBorder="1" applyAlignment="1" applyProtection="1">
      <alignment vertical="center"/>
      <protection hidden="1"/>
    </xf>
    <xf numFmtId="0" fontId="10" fillId="3" borderId="11" xfId="0" applyFont="1" applyFill="1" applyBorder="1" applyAlignment="1" applyProtection="1">
      <alignment vertical="center"/>
      <protection hidden="1"/>
    </xf>
    <xf numFmtId="165" fontId="10" fillId="3" borderId="9" xfId="1" applyNumberFormat="1" applyFont="1" applyFill="1" applyBorder="1" applyAlignment="1" applyProtection="1">
      <alignment vertical="center"/>
      <protection hidden="1"/>
    </xf>
    <xf numFmtId="0" fontId="10" fillId="3" borderId="11"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10" fillId="3" borderId="8" xfId="0" applyFont="1" applyFill="1" applyBorder="1" applyAlignment="1" applyProtection="1">
      <alignment horizontal="left" vertical="center"/>
      <protection hidden="1"/>
    </xf>
    <xf numFmtId="165" fontId="8" fillId="4" borderId="10" xfId="1" applyNumberFormat="1" applyFont="1" applyFill="1" applyBorder="1" applyAlignment="1" applyProtection="1">
      <alignment vertical="center"/>
      <protection hidden="1"/>
    </xf>
    <xf numFmtId="0" fontId="8" fillId="4" borderId="10" xfId="0" applyFont="1" applyFill="1" applyBorder="1" applyAlignment="1" applyProtection="1">
      <alignment vertical="center"/>
      <protection hidden="1"/>
    </xf>
    <xf numFmtId="0" fontId="8" fillId="4" borderId="9" xfId="0" applyFont="1" applyFill="1" applyBorder="1" applyAlignment="1" applyProtection="1">
      <alignment vertical="center"/>
      <protection hidden="1"/>
    </xf>
    <xf numFmtId="0" fontId="9" fillId="3" borderId="11" xfId="0" applyFont="1" applyFill="1" applyBorder="1" applyAlignment="1" applyProtection="1">
      <alignment horizontal="left" vertical="center" indent="1"/>
      <protection hidden="1"/>
    </xf>
    <xf numFmtId="165" fontId="10" fillId="3" borderId="11" xfId="1" applyNumberFormat="1" applyFont="1" applyFill="1" applyBorder="1" applyAlignment="1" applyProtection="1">
      <alignment vertical="center"/>
      <protection hidden="1"/>
    </xf>
    <xf numFmtId="0" fontId="10" fillId="3" borderId="10" xfId="0" applyFont="1" applyFill="1" applyBorder="1" applyAlignment="1" applyProtection="1">
      <alignment vertical="center"/>
      <protection hidden="1"/>
    </xf>
    <xf numFmtId="0" fontId="10" fillId="3" borderId="9" xfId="0" applyFont="1" applyFill="1" applyBorder="1" applyAlignment="1" applyProtection="1">
      <alignment vertical="center"/>
      <protection hidden="1"/>
    </xf>
    <xf numFmtId="43" fontId="10" fillId="3" borderId="11" xfId="1" applyFont="1" applyFill="1" applyBorder="1" applyAlignment="1" applyProtection="1">
      <alignment vertical="center"/>
      <protection hidden="1"/>
    </xf>
    <xf numFmtId="0" fontId="3" fillId="0" borderId="14" xfId="0" applyFont="1" applyBorder="1" applyAlignment="1" applyProtection="1">
      <alignment vertical="center"/>
      <protection hidden="1"/>
    </xf>
    <xf numFmtId="165" fontId="10" fillId="4" borderId="10" xfId="1" applyNumberFormat="1" applyFont="1" applyFill="1" applyBorder="1" applyAlignment="1" applyProtection="1">
      <alignment vertical="center"/>
      <protection hidden="1"/>
    </xf>
    <xf numFmtId="0" fontId="10" fillId="4" borderId="10" xfId="0" applyFont="1" applyFill="1" applyBorder="1" applyAlignment="1" applyProtection="1">
      <alignment vertical="center"/>
      <protection hidden="1"/>
    </xf>
    <xf numFmtId="0" fontId="10" fillId="4" borderId="9" xfId="0" applyFont="1" applyFill="1" applyBorder="1" applyAlignment="1" applyProtection="1">
      <alignment vertical="center"/>
      <protection hidden="1"/>
    </xf>
    <xf numFmtId="43" fontId="10" fillId="3" borderId="14" xfId="1" applyFont="1" applyFill="1" applyBorder="1" applyAlignment="1" applyProtection="1">
      <alignment vertical="center"/>
      <protection hidden="1"/>
    </xf>
    <xf numFmtId="165" fontId="10" fillId="3" borderId="12" xfId="1" applyNumberFormat="1" applyFont="1" applyFill="1" applyBorder="1" applyAlignment="1" applyProtection="1">
      <alignment vertical="center"/>
      <protection hidden="1"/>
    </xf>
    <xf numFmtId="0" fontId="9" fillId="3" borderId="11" xfId="0" applyFont="1" applyFill="1" applyBorder="1" applyAlignment="1" applyProtection="1">
      <alignment vertical="center"/>
      <protection hidden="1"/>
    </xf>
    <xf numFmtId="0" fontId="9" fillId="3" borderId="10" xfId="0" applyFont="1" applyFill="1" applyBorder="1" applyAlignment="1" applyProtection="1">
      <alignment vertical="center"/>
      <protection hidden="1"/>
    </xf>
    <xf numFmtId="0" fontId="16" fillId="3" borderId="11" xfId="0" applyFont="1" applyFill="1" applyBorder="1" applyAlignment="1" applyProtection="1">
      <alignment horizontal="left" vertical="center" indent="2"/>
      <protection hidden="1"/>
    </xf>
    <xf numFmtId="0" fontId="16" fillId="3" borderId="9" xfId="0" applyFont="1" applyFill="1" applyBorder="1" applyAlignment="1" applyProtection="1">
      <alignment vertical="center"/>
      <protection hidden="1"/>
    </xf>
    <xf numFmtId="165" fontId="16" fillId="3" borderId="15" xfId="1" applyNumberFormat="1" applyFont="1" applyFill="1" applyBorder="1" applyAlignment="1" applyProtection="1">
      <alignment vertical="center"/>
      <protection hidden="1"/>
    </xf>
    <xf numFmtId="0" fontId="16" fillId="3" borderId="15" xfId="0" applyFont="1" applyFill="1" applyBorder="1" applyAlignment="1" applyProtection="1">
      <alignment vertical="center"/>
      <protection hidden="1"/>
    </xf>
    <xf numFmtId="165" fontId="16" fillId="3" borderId="15" xfId="1" applyNumberFormat="1" applyFont="1" applyFill="1" applyBorder="1" applyAlignment="1" applyProtection="1">
      <alignment horizontal="right" vertical="center"/>
      <protection hidden="1"/>
    </xf>
    <xf numFmtId="0" fontId="9" fillId="3" borderId="1" xfId="0" applyFont="1" applyFill="1" applyBorder="1" applyAlignment="1" applyProtection="1">
      <alignment horizontal="left" vertical="center" indent="1"/>
      <protection hidden="1"/>
    </xf>
    <xf numFmtId="0" fontId="9" fillId="3" borderId="3" xfId="0" applyFont="1" applyFill="1" applyBorder="1" applyAlignment="1" applyProtection="1">
      <alignment vertical="center"/>
      <protection hidden="1"/>
    </xf>
    <xf numFmtId="0" fontId="10" fillId="3" borderId="18" xfId="0" applyFont="1" applyFill="1" applyBorder="1" applyAlignment="1" applyProtection="1">
      <alignment vertical="center"/>
      <protection hidden="1"/>
    </xf>
    <xf numFmtId="0" fontId="10" fillId="6" borderId="20" xfId="0" applyFont="1" applyFill="1" applyBorder="1" applyAlignment="1" applyProtection="1">
      <alignment horizontal="left" vertical="center" indent="1"/>
      <protection hidden="1"/>
    </xf>
    <xf numFmtId="0" fontId="10" fillId="6" borderId="21" xfId="0" applyFont="1" applyFill="1" applyBorder="1" applyAlignment="1" applyProtection="1">
      <alignment vertical="center"/>
      <protection hidden="1"/>
    </xf>
    <xf numFmtId="165" fontId="10" fillId="6" borderId="19" xfId="1" applyNumberFormat="1" applyFont="1" applyFill="1" applyBorder="1" applyAlignment="1" applyProtection="1">
      <alignment vertical="center"/>
      <protection hidden="1"/>
    </xf>
    <xf numFmtId="0" fontId="10" fillId="6" borderId="19" xfId="0" applyFont="1" applyFill="1" applyBorder="1" applyAlignment="1" applyProtection="1">
      <alignment vertical="center"/>
      <protection hidden="1"/>
    </xf>
    <xf numFmtId="0" fontId="9" fillId="6" borderId="22" xfId="0" applyFont="1" applyFill="1" applyBorder="1" applyAlignment="1" applyProtection="1">
      <alignment vertical="center"/>
      <protection hidden="1"/>
    </xf>
    <xf numFmtId="0" fontId="9" fillId="6" borderId="21" xfId="0" applyFont="1" applyFill="1" applyBorder="1" applyAlignment="1" applyProtection="1">
      <alignment vertical="center"/>
      <protection hidden="1"/>
    </xf>
    <xf numFmtId="0" fontId="9" fillId="3" borderId="6" xfId="0" applyFont="1" applyFill="1" applyBorder="1" applyAlignment="1" applyProtection="1">
      <alignment horizontal="left" vertical="center" indent="1"/>
      <protection hidden="1"/>
    </xf>
    <xf numFmtId="0" fontId="9" fillId="3" borderId="8" xfId="0" applyFont="1" applyFill="1" applyBorder="1" applyAlignment="1" applyProtection="1">
      <alignment vertical="center"/>
      <protection hidden="1"/>
    </xf>
    <xf numFmtId="167" fontId="10" fillId="3" borderId="17" xfId="1" applyNumberFormat="1" applyFont="1" applyFill="1" applyBorder="1" applyAlignment="1" applyProtection="1">
      <alignment vertical="center"/>
      <protection hidden="1"/>
    </xf>
    <xf numFmtId="0" fontId="10" fillId="3" borderId="17" xfId="0" applyFont="1" applyFill="1" applyBorder="1" applyAlignment="1" applyProtection="1">
      <alignment vertical="center"/>
      <protection hidden="1"/>
    </xf>
    <xf numFmtId="0" fontId="9" fillId="3" borderId="0" xfId="0" applyFont="1" applyFill="1" applyAlignment="1" applyProtection="1">
      <alignment vertical="center"/>
      <protection hidden="1"/>
    </xf>
    <xf numFmtId="0" fontId="9" fillId="3" borderId="7" xfId="0" applyFont="1" applyFill="1" applyBorder="1" applyAlignment="1" applyProtection="1">
      <alignment vertical="center"/>
      <protection hidden="1"/>
    </xf>
    <xf numFmtId="0" fontId="9" fillId="3" borderId="5" xfId="0" applyFont="1" applyFill="1" applyBorder="1" applyAlignment="1" applyProtection="1">
      <alignment vertical="center"/>
      <protection hidden="1"/>
    </xf>
    <xf numFmtId="0" fontId="9" fillId="3" borderId="4" xfId="0" applyFont="1" applyFill="1" applyBorder="1" applyAlignment="1" applyProtection="1">
      <alignment horizontal="left" vertical="center" indent="1"/>
      <protection hidden="1"/>
    </xf>
    <xf numFmtId="169" fontId="10" fillId="0" borderId="16" xfId="2" applyNumberFormat="1" applyFont="1" applyFill="1" applyBorder="1" applyAlignment="1" applyProtection="1">
      <alignment horizontal="right" vertical="center"/>
      <protection hidden="1"/>
    </xf>
    <xf numFmtId="167" fontId="10" fillId="0" borderId="17" xfId="1"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2" fillId="0" borderId="8"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left" vertical="center"/>
      <protection hidden="1"/>
    </xf>
    <xf numFmtId="0" fontId="2" fillId="0" borderId="0" xfId="0" applyFont="1" applyAlignment="1" applyProtection="1">
      <alignment horizontal="left" vertical="center" wrapText="1" indent="1"/>
      <protection hidden="1"/>
    </xf>
    <xf numFmtId="0" fontId="2" fillId="0" borderId="0" xfId="0" applyFont="1" applyAlignment="1" applyProtection="1">
      <alignment horizontal="left" vertical="center" indent="3"/>
      <protection hidden="1"/>
    </xf>
    <xf numFmtId="0" fontId="2" fillId="0" borderId="0" xfId="0" applyFont="1" applyAlignment="1" applyProtection="1">
      <alignment horizontal="left" vertical="center" indent="1"/>
      <protection hidden="1"/>
    </xf>
    <xf numFmtId="0" fontId="14" fillId="0" borderId="0" xfId="0" applyFont="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2" fillId="0" borderId="0" xfId="0" applyFont="1" applyAlignment="1" applyProtection="1">
      <alignment horizontal="left" vertical="center" indent="2"/>
      <protection hidden="1"/>
    </xf>
    <xf numFmtId="0" fontId="23"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Alignment="1" applyProtection="1">
      <alignmen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indent="3"/>
      <protection hidden="1"/>
    </xf>
    <xf numFmtId="0" fontId="9" fillId="0" borderId="0" xfId="0" applyFont="1" applyAlignment="1" applyProtection="1">
      <alignment horizontal="left" vertical="center" wrapText="1" indent="3"/>
      <protection hidden="1"/>
    </xf>
    <xf numFmtId="0" fontId="16" fillId="0" borderId="0" xfId="0" applyFont="1" applyAlignment="1" applyProtection="1">
      <alignment horizontal="left" vertical="center" indent="3"/>
      <protection hidden="1"/>
    </xf>
    <xf numFmtId="0" fontId="21" fillId="0" borderId="0" xfId="0" applyFont="1" applyAlignment="1" applyProtection="1">
      <alignment horizontal="left" vertical="center" indent="3"/>
      <protection hidden="1"/>
    </xf>
    <xf numFmtId="0" fontId="17" fillId="0" borderId="0" xfId="0" applyFont="1" applyProtection="1">
      <protection hidden="1"/>
    </xf>
    <xf numFmtId="0" fontId="18" fillId="0" borderId="0" xfId="0" applyFont="1" applyProtection="1">
      <protection hidden="1"/>
    </xf>
    <xf numFmtId="9" fontId="18" fillId="0" borderId="0" xfId="2" applyFont="1" applyProtection="1">
      <protection hidden="1"/>
    </xf>
    <xf numFmtId="164" fontId="18" fillId="0" borderId="0" xfId="0" applyNumberFormat="1" applyFont="1" applyProtection="1">
      <protection hidden="1"/>
    </xf>
    <xf numFmtId="0" fontId="2" fillId="5" borderId="9" xfId="0" applyFont="1" applyFill="1" applyBorder="1" applyAlignment="1" applyProtection="1">
      <alignment horizontal="right" vertical="center"/>
      <protection locked="0"/>
    </xf>
    <xf numFmtId="165" fontId="2" fillId="5" borderId="9" xfId="1" applyNumberFormat="1" applyFont="1" applyFill="1" applyBorder="1" applyAlignment="1" applyProtection="1">
      <alignment horizontal="right" vertical="center"/>
      <protection locked="0"/>
    </xf>
    <xf numFmtId="43" fontId="2" fillId="5" borderId="5" xfId="1" applyFont="1" applyFill="1" applyBorder="1" applyAlignment="1" applyProtection="1">
      <alignment horizontal="right" vertical="center"/>
      <protection locked="0"/>
    </xf>
    <xf numFmtId="0" fontId="2" fillId="5" borderId="14" xfId="0" applyFont="1" applyFill="1" applyBorder="1" applyAlignment="1" applyProtection="1">
      <alignment vertical="center"/>
      <protection locked="0"/>
    </xf>
    <xf numFmtId="165" fontId="2" fillId="5" borderId="14" xfId="1" applyNumberFormat="1" applyFont="1" applyFill="1" applyBorder="1" applyAlignment="1" applyProtection="1">
      <alignment horizontal="right" vertical="center" wrapText="1"/>
      <protection locked="0"/>
    </xf>
    <xf numFmtId="165" fontId="2" fillId="5" borderId="14" xfId="1" applyNumberFormat="1" applyFont="1" applyFill="1" applyBorder="1" applyAlignment="1" applyProtection="1">
      <alignment horizontal="right" vertical="center"/>
      <protection locked="0"/>
    </xf>
    <xf numFmtId="0" fontId="2" fillId="5" borderId="9" xfId="0" applyFont="1" applyFill="1" applyBorder="1" applyAlignment="1" applyProtection="1">
      <alignment vertical="center"/>
      <protection locked="0"/>
    </xf>
    <xf numFmtId="165" fontId="2" fillId="5" borderId="15" xfId="1" applyNumberFormat="1" applyFont="1" applyFill="1" applyBorder="1" applyAlignment="1" applyProtection="1">
      <alignment horizontal="right" vertical="center"/>
      <protection locked="0"/>
    </xf>
    <xf numFmtId="165" fontId="9" fillId="5" borderId="15" xfId="1" applyNumberFormat="1" applyFont="1" applyFill="1" applyBorder="1" applyAlignment="1" applyProtection="1">
      <alignment horizontal="right" vertical="center"/>
      <protection locked="0"/>
    </xf>
    <xf numFmtId="168" fontId="2" fillId="5" borderId="14" xfId="1" applyNumberFormat="1" applyFont="1" applyFill="1" applyBorder="1" applyAlignment="1" applyProtection="1">
      <alignment horizontal="left" vertical="center" indent="1"/>
      <protection locked="0"/>
    </xf>
    <xf numFmtId="165" fontId="10" fillId="5" borderId="18" xfId="1" applyNumberFormat="1" applyFont="1" applyFill="1" applyBorder="1" applyAlignment="1" applyProtection="1">
      <alignment vertical="center"/>
      <protection locked="0"/>
    </xf>
    <xf numFmtId="165" fontId="10" fillId="5" borderId="14" xfId="1" applyNumberFormat="1" applyFont="1" applyFill="1" applyBorder="1" applyAlignment="1" applyProtection="1">
      <alignment vertical="center"/>
      <protection locked="0"/>
    </xf>
    <xf numFmtId="0" fontId="22"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indent="3"/>
      <protection hidden="1"/>
    </xf>
    <xf numFmtId="0" fontId="9"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indent="1"/>
      <protection hidden="1"/>
    </xf>
    <xf numFmtId="0" fontId="2" fillId="0" borderId="0" xfId="0" applyFont="1" applyAlignment="1" applyProtection="1">
      <alignment horizontal="left" vertical="center" wrapText="1" indent="1"/>
      <protection hidden="1"/>
    </xf>
    <xf numFmtId="0" fontId="2" fillId="3" borderId="15" xfId="0" applyFont="1" applyFill="1" applyBorder="1" applyAlignment="1" applyProtection="1">
      <alignment horizontal="left" vertical="center" indent="1"/>
      <protection hidden="1"/>
    </xf>
    <xf numFmtId="0" fontId="2" fillId="3" borderId="17" xfId="0" applyFont="1" applyFill="1" applyBorder="1" applyAlignment="1" applyProtection="1">
      <alignment horizontal="left" vertical="center" indent="1"/>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10" fillId="4" borderId="11" xfId="0" applyFont="1" applyFill="1" applyBorder="1" applyAlignment="1" applyProtection="1">
      <alignment horizontal="left" vertical="center"/>
      <protection hidden="1"/>
    </xf>
    <xf numFmtId="0" fontId="10" fillId="4" borderId="10" xfId="0" applyFont="1" applyFill="1" applyBorder="1" applyAlignment="1" applyProtection="1">
      <alignment horizontal="left" vertical="center"/>
      <protection hidden="1"/>
    </xf>
    <xf numFmtId="0" fontId="3" fillId="4" borderId="11" xfId="0" applyFont="1" applyFill="1" applyBorder="1" applyAlignment="1" applyProtection="1">
      <alignment horizontal="left" vertical="center"/>
      <protection hidden="1"/>
    </xf>
    <xf numFmtId="0" fontId="3" fillId="4" borderId="10" xfId="0" applyFont="1" applyFill="1" applyBorder="1" applyAlignment="1" applyProtection="1">
      <alignment horizontal="left" vertical="center"/>
      <protection hidden="1"/>
    </xf>
    <xf numFmtId="0" fontId="10" fillId="4" borderId="4" xfId="0" applyFont="1" applyFill="1" applyBorder="1" applyAlignment="1" applyProtection="1">
      <alignment horizontal="left" vertical="center"/>
      <protection hidden="1"/>
    </xf>
    <xf numFmtId="0" fontId="10" fillId="4" borderId="0" xfId="0" applyFont="1" applyFill="1" applyAlignment="1" applyProtection="1">
      <alignment horizontal="left" vertical="center"/>
      <protection hidden="1"/>
    </xf>
    <xf numFmtId="0" fontId="20" fillId="0" borderId="0" xfId="0" applyFont="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2" fillId="0" borderId="12" xfId="0" applyFont="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9" fillId="3" borderId="3" xfId="0" applyFont="1" applyFill="1" applyBorder="1" applyAlignment="1" applyProtection="1">
      <alignment horizontal="left" vertical="center" wrapText="1"/>
      <protection hidden="1"/>
    </xf>
    <xf numFmtId="0" fontId="6" fillId="3" borderId="15" xfId="0" applyFont="1" applyFill="1" applyBorder="1" applyAlignment="1" applyProtection="1">
      <alignment horizontal="left" vertical="center" wrapText="1" indent="1"/>
      <protection hidden="1"/>
    </xf>
    <xf numFmtId="0" fontId="6" fillId="3" borderId="16" xfId="0" applyFont="1" applyFill="1" applyBorder="1" applyAlignment="1" applyProtection="1">
      <alignment horizontal="left" vertical="center" wrapText="1" indent="1"/>
      <protection hidden="1"/>
    </xf>
    <xf numFmtId="0" fontId="6" fillId="3" borderId="17" xfId="0" applyFont="1" applyFill="1" applyBorder="1" applyAlignment="1" applyProtection="1">
      <alignment horizontal="left" vertical="center" wrapText="1" indent="1"/>
      <protection hidden="1"/>
    </xf>
    <xf numFmtId="0" fontId="3" fillId="4" borderId="4" xfId="0" applyFont="1" applyFill="1" applyBorder="1" applyAlignment="1" applyProtection="1">
      <alignment horizontal="left" vertical="center"/>
      <protection hidden="1"/>
    </xf>
    <xf numFmtId="0" fontId="3" fillId="4" borderId="0" xfId="0" applyFont="1" applyFill="1" applyAlignment="1" applyProtection="1">
      <alignment horizontal="left" vertical="center"/>
      <protection hidden="1"/>
    </xf>
  </cellXfs>
  <cellStyles count="3">
    <cellStyle name="Milliers" xfId="1" builtinId="3"/>
    <cellStyle name="Normal" xfId="0" builtinId="0"/>
    <cellStyle name="Pourcentage" xfId="2" builtinId="5"/>
  </cellStyles>
  <dxfs count="31">
    <dxf>
      <font>
        <b/>
        <i val="0"/>
        <strike val="0"/>
        <color rgb="FFC00000"/>
      </font>
      <fill>
        <patternFill patternType="solid">
          <bgColor theme="0"/>
        </patternFill>
      </fill>
    </dxf>
    <dxf>
      <font>
        <b/>
        <i val="0"/>
        <strike val="0"/>
        <color rgb="FFC00000"/>
      </font>
    </dxf>
    <dxf>
      <font>
        <b/>
        <i val="0"/>
        <strike val="0"/>
        <color rgb="FFC00000"/>
      </font>
      <fill>
        <patternFill patternType="solid">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val="0"/>
        <i val="0"/>
        <strike val="0"/>
        <condense val="0"/>
        <extend val="0"/>
        <outline val="0"/>
        <shadow val="0"/>
        <u val="none"/>
        <vertAlign val="baseline"/>
        <sz val="11"/>
        <color theme="1"/>
        <name val="Segoe UI"/>
        <family val="2"/>
        <scheme val="none"/>
      </font>
      <protection locked="1" hidden="1"/>
    </dxf>
    <dxf>
      <font>
        <b/>
        <i val="0"/>
        <strike val="0"/>
        <condense val="0"/>
        <extend val="0"/>
        <outline val="0"/>
        <shadow val="0"/>
        <u val="none"/>
        <vertAlign val="baseline"/>
        <sz val="11"/>
        <color theme="1"/>
        <name val="Segoe UI"/>
        <family val="2"/>
        <scheme val="none"/>
      </font>
      <protection locked="1" hidden="1"/>
    </dxf>
  </dxfs>
  <tableStyles count="0" defaultTableStyle="TableStyleMedium2" defaultPivotStyle="PivotStyleLight16"/>
  <colors>
    <mruColors>
      <color rgb="FF9C0006"/>
      <color rgb="FFFFC7CE"/>
      <color rgb="FFFFFFCC"/>
      <color rgb="FFECF4FA"/>
      <color rgb="FFE3E9F5"/>
      <color rgb="FFE1E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1882590</xdr:colOff>
      <xdr:row>19</xdr:row>
      <xdr:rowOff>16435</xdr:rowOff>
    </xdr:from>
    <xdr:to>
      <xdr:col>6</xdr:col>
      <xdr:colOff>112060</xdr:colOff>
      <xdr:row>20</xdr:row>
      <xdr:rowOff>5976</xdr:rowOff>
    </xdr:to>
    <xdr:sp macro="" textlink="">
      <xdr:nvSpPr>
        <xdr:cNvPr id="3" name="Rectangle 2">
          <a:extLst>
            <a:ext uri="{FF2B5EF4-FFF2-40B4-BE49-F238E27FC236}">
              <a16:creationId xmlns:a16="http://schemas.microsoft.com/office/drawing/2014/main" id="{21CDE253-3C6C-4545-8A41-F106C0BBAACE}"/>
            </a:ext>
          </a:extLst>
        </xdr:cNvPr>
        <xdr:cNvSpPr/>
      </xdr:nvSpPr>
      <xdr:spPr>
        <a:xfrm>
          <a:off x="7791825" y="4969435"/>
          <a:ext cx="672353" cy="206188"/>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5</xdr:col>
      <xdr:colOff>1882590</xdr:colOff>
      <xdr:row>19</xdr:row>
      <xdr:rowOff>16435</xdr:rowOff>
    </xdr:from>
    <xdr:to>
      <xdr:col>6</xdr:col>
      <xdr:colOff>112060</xdr:colOff>
      <xdr:row>20</xdr:row>
      <xdr:rowOff>5976</xdr:rowOff>
    </xdr:to>
    <xdr:sp macro="" textlink="">
      <xdr:nvSpPr>
        <xdr:cNvPr id="2" name="Rectangle 1">
          <a:extLst>
            <a:ext uri="{FF2B5EF4-FFF2-40B4-BE49-F238E27FC236}">
              <a16:creationId xmlns:a16="http://schemas.microsoft.com/office/drawing/2014/main" id="{5109B3B2-EE23-4A8E-A914-86E157C15CE7}"/>
            </a:ext>
          </a:extLst>
        </xdr:cNvPr>
        <xdr:cNvSpPr/>
      </xdr:nvSpPr>
      <xdr:spPr>
        <a:xfrm>
          <a:off x="7782375" y="4887520"/>
          <a:ext cx="664060" cy="197186"/>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4</xdr:col>
      <xdr:colOff>299191</xdr:colOff>
      <xdr:row>21</xdr:row>
      <xdr:rowOff>38</xdr:rowOff>
    </xdr:from>
    <xdr:to>
      <xdr:col>5</xdr:col>
      <xdr:colOff>379875</xdr:colOff>
      <xdr:row>21</xdr:row>
      <xdr:rowOff>202416</xdr:rowOff>
    </xdr:to>
    <xdr:sp macro="" textlink="">
      <xdr:nvSpPr>
        <xdr:cNvPr id="5" name="Rectangle 4">
          <a:extLst>
            <a:ext uri="{FF2B5EF4-FFF2-40B4-BE49-F238E27FC236}">
              <a16:creationId xmlns:a16="http://schemas.microsoft.com/office/drawing/2014/main" id="{327D3B78-12B6-4B47-A3FE-AA6C98BA72DE}"/>
            </a:ext>
          </a:extLst>
        </xdr:cNvPr>
        <xdr:cNvSpPr/>
      </xdr:nvSpPr>
      <xdr:spPr>
        <a:xfrm>
          <a:off x="5603309" y="5229450"/>
          <a:ext cx="668992" cy="202378"/>
        </a:xfrm>
        <a:prstGeom prst="rect">
          <a:avLst/>
        </a:prstGeom>
        <a:solidFill>
          <a:srgbClr val="FFC7CE"/>
        </a:solidFill>
        <a:ln>
          <a:solidFill>
            <a:srgbClr val="FFC7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646CFB-A525-41C1-B6CD-43AF6445C2BE}" name="Tableau1" displayName="Tableau1" ref="B2:U7" totalsRowShown="0" headerRowDxfId="30" dataDxfId="29">
  <autoFilter ref="B2:U7" xr:uid="{4E646CFB-A525-41C1-B6CD-43AF6445C2BE}"/>
  <tableColumns count="20">
    <tableColumn id="1" xr3:uid="{ED580950-4DC3-410C-AE01-F69046437976}" name="Combustible" dataDxfId="28"/>
    <tableColumn id="2" xr3:uid="{5BFAB2AB-5BD9-4177-BC86-67FA18CF6A8B}" name="Unité" dataDxfId="27"/>
    <tableColumn id="3" xr3:uid="{99FD57C8-63CD-4092-B297-1F4A34375B70}" name="$/unité" dataDxfId="26"/>
    <tableColumn id="4" xr3:uid="{77CC35FB-D4A4-4C66-B324-C867FF0071A4}" name="Pouvoir calorifique" dataDxfId="25"/>
    <tableColumn id="8" xr3:uid="{B1A18F7B-97C7-4250-AA09-8B705E42A73F}" name="Unité PC" dataDxfId="24"/>
    <tableColumn id="5" xr3:uid="{6E47075D-1A02-46F9-93CE-F02A4DE8E176}" name="Facteur d'émission GES" dataDxfId="23"/>
    <tableColumn id="7" xr3:uid="{03E161DE-DC47-4699-A43B-0A5A6869F8EB}" name="Unité GES" dataDxfId="22"/>
    <tableColumn id="10" xr3:uid="{8B6AC4F6-CF77-4CBA-BBF5-6D5FE2F774C5}" name="Unité tGES" dataDxfId="21"/>
    <tableColumn id="9" xr3:uid="{940FCAD4-CCDE-4810-8DE4-C40225B22079}" name="Efficacité" dataDxfId="20" dataCellStyle="Pourcentage"/>
    <tableColumn id="11" xr3:uid="{E11604EB-5248-474D-9B64-4AF72CFDC0E3}" name="Oui/non" dataDxfId="19"/>
    <tableColumn id="12" xr3:uid="{EF102ED4-5445-454E-9274-4628BE99742D}" name="Distribution" dataDxfId="18"/>
    <tableColumn id="13" xr3:uid="{273CE566-ABA8-411D-899F-FBD7A75EA16A}" name="Unité puissance" dataDxfId="17"/>
    <tableColumn id="14" xr3:uid="{4ECCB785-E780-4E23-8AF7-C71698679088}" name="$/unité2" dataDxfId="16"/>
    <tableColumn id="15" xr3:uid="{FB13AA9C-C471-4708-A64C-0FA5A5EF1D13}" name="Tarif HQ (nom)" dataDxfId="15"/>
    <tableColumn id="16" xr3:uid="{698390FC-0DEB-4E45-85F7-730A514BB36B}" name="Tarif HQ ($)" dataDxfId="14"/>
    <tableColumn id="17" xr3:uid="{A4F915EA-8DA4-4EF4-985F-03945F07A131}" name="Voltage entrée électrique" dataDxfId="13"/>
    <tableColumn id="18" xr3:uid="{5C6B8FDE-39B9-47F8-93CD-0CDF4BE9FDFB}" name="Voltage pour calcul" dataDxfId="12"/>
    <tableColumn id="6" xr3:uid="{0A36C982-AE33-45A5-9FFB-BF359A9B9631}" name="Équipements" dataDxfId="11"/>
    <tableColumn id="19" xr3:uid="{6860F622-830C-4B7F-958E-B9D154A702AA}" name="Efficacité éq." dataDxfId="10"/>
    <tableColumn id="20" xr3:uid="{0F7E1CB4-4266-405D-A5A1-D04F83FE525B}" name="Âge des éq." dataDxfId="9"/>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E9EC2-56D5-44C4-97D5-760115FC979E}">
  <dimension ref="B1:J45"/>
  <sheetViews>
    <sheetView showGridLines="0" topLeftCell="A5" zoomScale="85" zoomScaleNormal="85" zoomScaleSheetLayoutView="102" workbookViewId="0">
      <selection activeCell="F2" sqref="F1:F1048576"/>
    </sheetView>
  </sheetViews>
  <sheetFormatPr baseColWidth="10" defaultColWidth="10.6640625" defaultRowHeight="16.95" customHeight="1" x14ac:dyDescent="0.3"/>
  <cols>
    <col min="1" max="1" width="2.1640625" style="1" customWidth="1"/>
    <col min="2" max="2" width="26.6640625" style="1" customWidth="1"/>
    <col min="3" max="3" width="21.83203125" style="3" customWidth="1"/>
    <col min="4" max="4" width="7.33203125" style="1" customWidth="1"/>
    <col min="5" max="5" width="6" style="1" customWidth="1"/>
    <col min="6" max="6" width="26.6640625" style="1" customWidth="1"/>
    <col min="7" max="7" width="12.58203125" style="1" customWidth="1"/>
    <col min="8" max="8" width="10.1640625" style="1" customWidth="1"/>
    <col min="9" max="16384" width="10.6640625" style="1"/>
  </cols>
  <sheetData>
    <row r="1" spans="2:8" ht="46.2" customHeight="1" x14ac:dyDescent="0.3">
      <c r="B1" s="141" t="s">
        <v>179</v>
      </c>
      <c r="C1" s="141"/>
      <c r="D1" s="141"/>
      <c r="E1" s="141"/>
      <c r="F1" s="141"/>
      <c r="G1" s="141"/>
      <c r="H1" s="141"/>
    </row>
    <row r="2" spans="2:8" ht="16.95" customHeight="1" x14ac:dyDescent="0.3">
      <c r="B2" s="115" t="s">
        <v>59</v>
      </c>
      <c r="C2" s="116"/>
      <c r="D2" s="117"/>
      <c r="E2" s="117"/>
      <c r="F2" s="117"/>
      <c r="G2" s="117"/>
      <c r="H2" s="117"/>
    </row>
    <row r="3" spans="2:8" ht="9.6" customHeight="1" x14ac:dyDescent="0.3">
      <c r="B3" s="118"/>
      <c r="C3" s="116"/>
      <c r="D3" s="117"/>
      <c r="E3" s="117"/>
      <c r="F3" s="117"/>
      <c r="G3" s="117"/>
      <c r="H3" s="117"/>
    </row>
    <row r="4" spans="2:8" ht="16.95" customHeight="1" x14ac:dyDescent="0.3">
      <c r="B4" s="119" t="s">
        <v>121</v>
      </c>
      <c r="C4" s="116"/>
      <c r="D4" s="117"/>
      <c r="E4" s="117"/>
      <c r="F4" s="117"/>
      <c r="G4" s="117"/>
      <c r="H4" s="117"/>
    </row>
    <row r="5" spans="2:8" s="117" customFormat="1" ht="30.6" customHeight="1" x14ac:dyDescent="0.3">
      <c r="B5" s="143" t="s">
        <v>135</v>
      </c>
      <c r="C5" s="143"/>
      <c r="D5" s="143"/>
      <c r="E5" s="143"/>
      <c r="F5" s="143"/>
      <c r="G5" s="143"/>
      <c r="H5" s="143"/>
    </row>
    <row r="6" spans="2:8" ht="30.6" customHeight="1" x14ac:dyDescent="0.3">
      <c r="B6" s="143" t="s">
        <v>180</v>
      </c>
      <c r="C6" s="143"/>
      <c r="D6" s="143"/>
      <c r="E6" s="143"/>
      <c r="F6" s="143"/>
      <c r="G6" s="143"/>
      <c r="H6" s="143"/>
    </row>
    <row r="7" spans="2:8" ht="31.2" customHeight="1" x14ac:dyDescent="0.3">
      <c r="B7" s="143" t="s">
        <v>136</v>
      </c>
      <c r="C7" s="143"/>
      <c r="D7" s="143"/>
      <c r="E7" s="143"/>
      <c r="F7" s="143"/>
      <c r="G7" s="143"/>
      <c r="H7" s="143"/>
    </row>
    <row r="8" spans="2:8" ht="34.200000000000003" customHeight="1" x14ac:dyDescent="0.3">
      <c r="B8" s="143" t="s">
        <v>142</v>
      </c>
      <c r="C8" s="143"/>
      <c r="D8" s="143"/>
      <c r="E8" s="143"/>
      <c r="F8" s="143"/>
      <c r="G8" s="143"/>
      <c r="H8" s="143"/>
    </row>
    <row r="9" spans="2:8" ht="16.95" customHeight="1" x14ac:dyDescent="0.3">
      <c r="B9" s="118"/>
      <c r="C9" s="116"/>
      <c r="D9" s="117"/>
      <c r="E9" s="117"/>
      <c r="F9" s="117"/>
      <c r="G9" s="117"/>
      <c r="H9" s="117"/>
    </row>
    <row r="10" spans="2:8" ht="16.95" customHeight="1" x14ac:dyDescent="0.3">
      <c r="B10" s="119" t="s">
        <v>81</v>
      </c>
      <c r="C10" s="116"/>
      <c r="D10" s="117"/>
      <c r="E10" s="117"/>
      <c r="F10" s="117"/>
      <c r="G10" s="117"/>
      <c r="H10" s="117"/>
    </row>
    <row r="11" spans="2:8" ht="16.95" customHeight="1" x14ac:dyDescent="0.3">
      <c r="B11" s="120" t="s">
        <v>122</v>
      </c>
      <c r="C11" s="116"/>
      <c r="D11" s="117"/>
      <c r="E11" s="117"/>
      <c r="F11" s="117"/>
      <c r="G11" s="117"/>
      <c r="H11" s="117"/>
    </row>
    <row r="12" spans="2:8" ht="16.95" customHeight="1" x14ac:dyDescent="0.3">
      <c r="B12" s="120" t="s">
        <v>123</v>
      </c>
      <c r="C12" s="116"/>
      <c r="D12" s="117"/>
      <c r="E12" s="117"/>
      <c r="F12" s="117"/>
      <c r="G12" s="117"/>
      <c r="H12" s="117"/>
    </row>
    <row r="13" spans="2:8" ht="16.95" customHeight="1" x14ac:dyDescent="0.3">
      <c r="B13" s="121" t="s">
        <v>143</v>
      </c>
      <c r="C13" s="116"/>
      <c r="D13" s="117"/>
      <c r="E13" s="117"/>
      <c r="F13" s="117"/>
      <c r="G13" s="117"/>
      <c r="H13" s="117"/>
    </row>
    <row r="14" spans="2:8" ht="16.95" customHeight="1" x14ac:dyDescent="0.3">
      <c r="B14" s="121" t="s">
        <v>137</v>
      </c>
      <c r="C14" s="116"/>
      <c r="D14" s="117"/>
      <c r="E14" s="117"/>
      <c r="F14" s="117"/>
      <c r="G14" s="117"/>
      <c r="H14" s="117"/>
    </row>
    <row r="15" spans="2:8" ht="16.95" customHeight="1" x14ac:dyDescent="0.3">
      <c r="B15" s="142" t="s">
        <v>144</v>
      </c>
      <c r="C15" s="142"/>
      <c r="D15" s="142"/>
      <c r="E15" s="142"/>
      <c r="F15" s="142"/>
      <c r="G15" s="142"/>
      <c r="H15" s="142"/>
    </row>
    <row r="16" spans="2:8" ht="16.95" customHeight="1" x14ac:dyDescent="0.3">
      <c r="B16" s="142"/>
      <c r="C16" s="142"/>
      <c r="D16" s="142"/>
      <c r="E16" s="142"/>
      <c r="F16" s="142"/>
      <c r="G16" s="142"/>
      <c r="H16" s="142"/>
    </row>
    <row r="17" spans="2:10" ht="16.95" customHeight="1" x14ac:dyDescent="0.3">
      <c r="B17" s="142" t="s">
        <v>138</v>
      </c>
      <c r="C17" s="142"/>
      <c r="D17" s="142"/>
      <c r="E17" s="142"/>
      <c r="F17" s="142"/>
      <c r="G17" s="142"/>
      <c r="H17" s="142"/>
    </row>
    <row r="18" spans="2:10" ht="16.95" customHeight="1" x14ac:dyDescent="0.3">
      <c r="B18" s="142"/>
      <c r="C18" s="142"/>
      <c r="D18" s="142"/>
      <c r="E18" s="142"/>
      <c r="F18" s="142"/>
      <c r="G18" s="142"/>
      <c r="H18" s="142"/>
    </row>
    <row r="19" spans="2:10" ht="16.95" customHeight="1" x14ac:dyDescent="0.3">
      <c r="B19" s="121" t="s">
        <v>124</v>
      </c>
      <c r="C19" s="122"/>
      <c r="D19" s="122"/>
      <c r="E19" s="122"/>
      <c r="F19" s="122"/>
      <c r="G19" s="122"/>
      <c r="H19" s="122"/>
    </row>
    <row r="20" spans="2:10" ht="16.95" customHeight="1" x14ac:dyDescent="0.3">
      <c r="B20" s="120" t="s">
        <v>110</v>
      </c>
      <c r="C20" s="116"/>
      <c r="D20" s="117"/>
      <c r="E20" s="117"/>
      <c r="F20" s="117"/>
      <c r="G20" s="117"/>
      <c r="H20" s="117"/>
    </row>
    <row r="21" spans="2:10" ht="16.95" customHeight="1" x14ac:dyDescent="0.3">
      <c r="B21" s="123" t="s">
        <v>139</v>
      </c>
      <c r="C21" s="116"/>
      <c r="D21" s="117"/>
      <c r="E21" s="117"/>
      <c r="F21" s="117"/>
      <c r="G21" s="117"/>
      <c r="H21" s="117"/>
    </row>
    <row r="22" spans="2:10" ht="16.95" customHeight="1" x14ac:dyDescent="0.3">
      <c r="B22" s="124" t="s">
        <v>140</v>
      </c>
      <c r="C22" s="116"/>
      <c r="D22" s="117"/>
      <c r="E22" s="117"/>
      <c r="F22" s="117"/>
      <c r="G22" s="117"/>
      <c r="H22" s="117"/>
    </row>
    <row r="23" spans="2:10" ht="16.95" customHeight="1" x14ac:dyDescent="0.3">
      <c r="B23" s="123" t="s">
        <v>141</v>
      </c>
      <c r="C23" s="116"/>
      <c r="D23" s="117"/>
      <c r="E23" s="117"/>
      <c r="F23" s="117"/>
      <c r="G23" s="117"/>
      <c r="H23" s="117"/>
    </row>
    <row r="24" spans="2:10" ht="16.95" customHeight="1" x14ac:dyDescent="0.3">
      <c r="B24" s="120" t="s">
        <v>146</v>
      </c>
      <c r="C24" s="116"/>
      <c r="D24" s="117"/>
      <c r="E24" s="117"/>
      <c r="F24" s="117"/>
      <c r="G24" s="117"/>
      <c r="H24" s="117"/>
    </row>
    <row r="25" spans="2:10" s="3" customFormat="1" ht="16.95" customHeight="1" x14ac:dyDescent="0.3">
      <c r="B25" s="120" t="s">
        <v>147</v>
      </c>
      <c r="C25" s="116"/>
      <c r="D25" s="117"/>
      <c r="E25" s="117"/>
      <c r="F25" s="117"/>
      <c r="G25" s="117"/>
      <c r="H25" s="117"/>
      <c r="I25" s="1"/>
      <c r="J25" s="1"/>
    </row>
    <row r="26" spans="2:10" ht="16.95" customHeight="1" x14ac:dyDescent="0.3">
      <c r="B26" s="117"/>
      <c r="C26" s="116"/>
      <c r="D26" s="117"/>
      <c r="E26" s="117"/>
      <c r="F26" s="117"/>
      <c r="G26" s="117"/>
      <c r="H26" s="117"/>
    </row>
    <row r="27" spans="2:10" ht="16.95" customHeight="1" x14ac:dyDescent="0.3">
      <c r="B27" s="48" t="s">
        <v>145</v>
      </c>
      <c r="C27" s="116"/>
      <c r="D27" s="117"/>
      <c r="E27" s="117"/>
      <c r="F27" s="117"/>
      <c r="G27" s="117"/>
      <c r="H27" s="117"/>
    </row>
    <row r="30" spans="2:10" ht="16.95" customHeight="1" x14ac:dyDescent="0.3">
      <c r="C30" s="1"/>
    </row>
    <row r="31" spans="2:10" ht="16.95" customHeight="1" x14ac:dyDescent="0.3">
      <c r="C31" s="1"/>
    </row>
    <row r="32" spans="2:10" ht="16.95" customHeight="1" x14ac:dyDescent="0.3">
      <c r="C32" s="1"/>
    </row>
    <row r="33" s="1" customFormat="1" ht="16.95" customHeight="1" x14ac:dyDescent="0.3"/>
    <row r="34" s="1" customFormat="1" ht="16.95" customHeight="1" x14ac:dyDescent="0.3"/>
    <row r="35" s="1" customFormat="1" ht="16.95" customHeight="1" x14ac:dyDescent="0.3"/>
    <row r="36" s="1" customFormat="1" ht="16.95" customHeight="1" x14ac:dyDescent="0.3"/>
    <row r="37" s="1" customFormat="1" ht="16.95" customHeight="1" x14ac:dyDescent="0.3"/>
    <row r="38" s="1" customFormat="1" ht="16.95" customHeight="1" x14ac:dyDescent="0.3"/>
    <row r="39" s="1" customFormat="1" ht="16.95" customHeight="1" x14ac:dyDescent="0.3"/>
    <row r="40" s="1" customFormat="1" ht="16.95" customHeight="1" x14ac:dyDescent="0.3"/>
    <row r="41" s="1" customFormat="1" ht="16.95" customHeight="1" x14ac:dyDescent="0.3"/>
    <row r="42" s="1" customFormat="1" ht="16.95" customHeight="1" x14ac:dyDescent="0.3"/>
    <row r="43" s="1" customFormat="1" ht="16.95" customHeight="1" x14ac:dyDescent="0.3"/>
    <row r="44" s="1" customFormat="1" ht="16.95" customHeight="1" x14ac:dyDescent="0.3"/>
    <row r="45" s="1" customFormat="1" ht="16.95" customHeight="1" x14ac:dyDescent="0.3"/>
  </sheetData>
  <sheetProtection algorithmName="SHA-512" hashValue="XgoEfWPF8PbjJjciinFeIcbuk15+5aAcZk2ZFYIhh/FBlWmXNFBKBNIcBwb2TqwLXPjp/LO0cFMgGEKLe1oEww==" saltValue="7iA7Z+qbDiDRgdaV4XzR4w==" spinCount="100000" sheet="1" objects="1" scenarios="1" formatCells="0" formatColumns="0" formatRows="0"/>
  <mergeCells count="7">
    <mergeCell ref="B1:H1"/>
    <mergeCell ref="B17:H18"/>
    <mergeCell ref="B5:H5"/>
    <mergeCell ref="B7:H7"/>
    <mergeCell ref="B6:H6"/>
    <mergeCell ref="B8:H8"/>
    <mergeCell ref="B15:H16"/>
  </mergeCells>
  <pageMargins left="0.7" right="0.7" top="0.75" bottom="0.75" header="0.3" footer="0.3"/>
  <pageSetup scale="63" orientation="portrait" r:id="rId1"/>
  <headerFooter>
    <oddHeader>&amp;R&amp;G</oddHeader>
    <oddFooter>&amp;L&amp;D&amp;R&amp;P</oddFooter>
  </headerFooter>
  <colBreaks count="1" manualBreakCount="1">
    <brk id="8" max="40"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259C3-C825-4FDF-B2C2-FD4B7E04E198}">
  <dimension ref="B1:K150"/>
  <sheetViews>
    <sheetView showGridLines="0" tabSelected="1" view="pageLayout" topLeftCell="A3" zoomScale="115" zoomScaleNormal="96" zoomScaleSheetLayoutView="102" zoomScalePageLayoutView="115" workbookViewId="0">
      <selection activeCell="C3" sqref="C3"/>
    </sheetView>
  </sheetViews>
  <sheetFormatPr baseColWidth="10" defaultColWidth="10.6640625" defaultRowHeight="16.95" customHeight="1" x14ac:dyDescent="0.3"/>
  <cols>
    <col min="1" max="1" width="2.1640625" style="1" customWidth="1"/>
    <col min="2" max="2" width="28.08203125" style="1" customWidth="1"/>
    <col min="3" max="3" width="17.58203125" style="3" customWidth="1"/>
    <col min="4" max="4" width="13.83203125" style="1" customWidth="1"/>
    <col min="5" max="5" width="6.08203125" style="1" customWidth="1"/>
    <col min="6" max="6" width="25.33203125" style="1" customWidth="1"/>
    <col min="7" max="7" width="12.58203125" style="1" customWidth="1"/>
    <col min="8" max="8" width="10.58203125" style="1" customWidth="1"/>
    <col min="9" max="16384" width="10.6640625" style="1"/>
  </cols>
  <sheetData>
    <row r="1" spans="2:8" ht="38.4" customHeight="1" x14ac:dyDescent="0.3">
      <c r="B1" s="144" t="s">
        <v>179</v>
      </c>
      <c r="C1" s="144"/>
      <c r="D1" s="144"/>
      <c r="E1" s="144"/>
      <c r="F1" s="144"/>
      <c r="G1" s="144"/>
      <c r="H1" s="144"/>
    </row>
    <row r="2" spans="2:8" ht="10.199999999999999" customHeight="1" x14ac:dyDescent="0.3">
      <c r="B2" s="2"/>
    </row>
    <row r="3" spans="2:8" ht="16.95" customHeight="1" x14ac:dyDescent="0.3">
      <c r="B3" s="4" t="s">
        <v>81</v>
      </c>
    </row>
    <row r="4" spans="2:8" ht="29.4" customHeight="1" x14ac:dyDescent="0.3">
      <c r="B4" s="145" t="s">
        <v>181</v>
      </c>
      <c r="C4" s="145"/>
      <c r="D4" s="145"/>
      <c r="E4" s="145"/>
      <c r="F4" s="145"/>
      <c r="G4" s="145"/>
      <c r="H4" s="145"/>
    </row>
    <row r="5" spans="2:8" ht="16.95" customHeight="1" x14ac:dyDescent="0.3">
      <c r="B5" s="6" t="s">
        <v>125</v>
      </c>
    </row>
    <row r="6" spans="2:8" ht="10.8" customHeight="1" x14ac:dyDescent="0.3"/>
    <row r="7" spans="2:8" ht="16.95" customHeight="1" thickBot="1" x14ac:dyDescent="0.35">
      <c r="B7" s="7" t="s">
        <v>49</v>
      </c>
      <c r="C7" s="8"/>
      <c r="D7" s="8"/>
      <c r="F7" s="7" t="s">
        <v>50</v>
      </c>
      <c r="G7" s="9"/>
      <c r="H7" s="10"/>
    </row>
    <row r="8" spans="2:8" ht="16.95" customHeight="1" thickTop="1" x14ac:dyDescent="0.3">
      <c r="B8" s="11" t="s">
        <v>13</v>
      </c>
      <c r="C8" s="12"/>
      <c r="D8" s="13"/>
      <c r="E8" s="14"/>
      <c r="F8" s="15" t="str">
        <f>IF(C9="","",C9)</f>
        <v/>
      </c>
      <c r="G8" s="16"/>
      <c r="H8" s="17"/>
    </row>
    <row r="9" spans="2:8" ht="16.95" customHeight="1" x14ac:dyDescent="0.3">
      <c r="B9" s="18" t="s">
        <v>35</v>
      </c>
      <c r="C9" s="129"/>
      <c r="D9" s="19"/>
      <c r="F9" s="20" t="s">
        <v>131</v>
      </c>
      <c r="G9" s="21" t="str">
        <f>_xlfn.XLOOKUP(C9,'C. Hypothèses'!B3:B6,'C. Hypothèses'!G3:G6,"")</f>
        <v/>
      </c>
      <c r="H9" s="22" t="str">
        <f>_xlfn.XLOOKUP(C9,'C. Hypothèses'!B3:B7,'C. Hypothèses'!H3:H7,"")</f>
        <v/>
      </c>
    </row>
    <row r="10" spans="2:8" ht="16.95" customHeight="1" x14ac:dyDescent="0.3">
      <c r="B10" s="23" t="s">
        <v>4</v>
      </c>
      <c r="C10" s="130"/>
      <c r="D10" s="22" t="str">
        <f>_xlfn.XLOOKUP(C9,'C. Hypothèses'!B3:B6,'C. Hypothèses'!C3:C6,"")</f>
        <v/>
      </c>
      <c r="F10" s="24" t="s">
        <v>11</v>
      </c>
      <c r="G10" s="25" t="str">
        <f>_xlfn.XLOOKUP(C9,'C. Hypothèses'!B3:B7,'C. Hypothèses'!E3:E7,"")</f>
        <v/>
      </c>
      <c r="H10" s="26" t="str">
        <f>_xlfn.XLOOKUP(C9,'C. Hypothèses'!B3:B7,'C. Hypothèses'!F3:F7,"")</f>
        <v/>
      </c>
    </row>
    <row r="11" spans="2:8" ht="16.95" customHeight="1" x14ac:dyDescent="0.3">
      <c r="B11" s="148" t="s">
        <v>5</v>
      </c>
      <c r="C11" s="131"/>
      <c r="D11" s="132"/>
      <c r="F11" s="11" t="s">
        <v>26</v>
      </c>
      <c r="G11" s="12"/>
      <c r="H11" s="13"/>
    </row>
    <row r="12" spans="2:8" ht="16.95" customHeight="1" x14ac:dyDescent="0.3">
      <c r="B12" s="149"/>
      <c r="C12" s="28" t="str">
        <f>IF(OR(D11="",C11=""),"",IF(D11="$/année",C11/C10,C10*C11))</f>
        <v/>
      </c>
      <c r="D12" s="22" t="str">
        <f>IF(D11="","",IF(D11="$/année",_xlfn.XLOOKUP(C9,'C. Hypothèses'!B3:B6,'C. Hypothèses'!D3:D6,""),"$/année"))</f>
        <v/>
      </c>
      <c r="F12" s="18" t="s">
        <v>42</v>
      </c>
      <c r="G12" s="29">
        <f>_xlfn.XLOOKUP(F11,'C. Hypothèses'!B3:B7,'C. Hypothèses'!J3:J7,"")</f>
        <v>1</v>
      </c>
      <c r="H12" s="30"/>
    </row>
    <row r="13" spans="2:8" ht="16.95" customHeight="1" x14ac:dyDescent="0.3">
      <c r="B13" s="23" t="s">
        <v>60</v>
      </c>
      <c r="C13" s="31" t="str">
        <f>IF(OR(C10="",C9=""),"",C10*G9/1000)</f>
        <v/>
      </c>
      <c r="D13" s="32" t="str">
        <f>IF(C13="","","tCO2eq")</f>
        <v/>
      </c>
      <c r="F13" s="23" t="s">
        <v>131</v>
      </c>
      <c r="G13" s="33">
        <f>_xlfn.XLOOKUP(F11,'C. Hypothèses'!B3:B7,'C. Hypothèses'!G3:G7,"")</f>
        <v>2.0412E-3</v>
      </c>
      <c r="H13" s="19" t="str">
        <f>_xlfn.XLOOKUP(F11,'C. Hypothèses'!B3:B7,'C. Hypothèses'!H3:H7,"")</f>
        <v>kg CO2eq/kWh</v>
      </c>
    </row>
    <row r="14" spans="2:8" ht="16.95" customHeight="1" x14ac:dyDescent="0.3">
      <c r="B14" s="11" t="s">
        <v>48</v>
      </c>
      <c r="C14" s="12"/>
      <c r="D14" s="13"/>
      <c r="F14" s="23" t="s">
        <v>74</v>
      </c>
      <c r="G14" s="138"/>
      <c r="H14" s="19"/>
    </row>
    <row r="15" spans="2:8" ht="15" x14ac:dyDescent="0.3">
      <c r="B15" s="24" t="s">
        <v>117</v>
      </c>
      <c r="C15" s="133"/>
      <c r="D15" s="34"/>
      <c r="F15" s="23" t="s">
        <v>134</v>
      </c>
      <c r="G15" s="35" t="str">
        <f>IF(G14="","",_xlfn.XLOOKUP(G14,'C. Hypothèses'!O3:O4,'C. Hypothèses'!P3:P4,""))</f>
        <v/>
      </c>
      <c r="H15" s="19" t="s">
        <v>27</v>
      </c>
    </row>
    <row r="16" spans="2:8" ht="16.95" customHeight="1" x14ac:dyDescent="0.3">
      <c r="B16" s="23" t="s">
        <v>129</v>
      </c>
      <c r="C16" s="134"/>
      <c r="D16" s="34"/>
      <c r="F16" s="11" t="s">
        <v>64</v>
      </c>
      <c r="G16" s="12"/>
      <c r="H16" s="13"/>
    </row>
    <row r="17" spans="2:11" ht="16.95" customHeight="1" x14ac:dyDescent="0.3">
      <c r="B17" s="36" t="s">
        <v>118</v>
      </c>
      <c r="C17" s="134"/>
      <c r="D17" s="34"/>
      <c r="F17" s="18" t="s">
        <v>132</v>
      </c>
      <c r="G17" s="37">
        <v>150</v>
      </c>
      <c r="H17" s="30" t="s">
        <v>36</v>
      </c>
    </row>
    <row r="18" spans="2:11" ht="16.95" customHeight="1" x14ac:dyDescent="0.3">
      <c r="B18" s="23" t="s">
        <v>6</v>
      </c>
      <c r="C18" s="38" t="str">
        <f>IF(OR(C15="",C16="",C17=""),"",IF(AND(OR(C15="Aérotherme/fournaise (efficacité standard)",C15="Chaudière/bouilloire (efficacité standard)"),C17="30 ans et plus"),(_xlfn.XLOOKUP(C15,'C. Hypothèses'!S3:S6,'C. Hypothèses'!T3:T6)-0.1),_xlfn.XLOOKUP(C15,'C. Hypothèses'!S3:S6,'C. Hypothèses'!T3:T6)))</f>
        <v/>
      </c>
      <c r="D18" s="19"/>
      <c r="F18" s="23" t="s">
        <v>133</v>
      </c>
      <c r="G18" s="39">
        <v>200</v>
      </c>
      <c r="H18" s="19" t="s">
        <v>36</v>
      </c>
    </row>
    <row r="19" spans="2:11" ht="16.95" customHeight="1" x14ac:dyDescent="0.3">
      <c r="B19" s="27" t="s">
        <v>102</v>
      </c>
      <c r="C19" s="134"/>
      <c r="D19" s="40" t="s">
        <v>100</v>
      </c>
      <c r="F19" s="23" t="s">
        <v>96</v>
      </c>
      <c r="G19" s="39">
        <v>1250</v>
      </c>
      <c r="H19" s="19" t="s">
        <v>16</v>
      </c>
    </row>
    <row r="20" spans="2:11" ht="16.95" customHeight="1" x14ac:dyDescent="0.3">
      <c r="B20" s="23" t="s">
        <v>101</v>
      </c>
      <c r="C20" s="134"/>
      <c r="D20" s="135" t="s">
        <v>19</v>
      </c>
      <c r="F20" s="23" t="s">
        <v>106</v>
      </c>
      <c r="G20" s="39">
        <v>1500</v>
      </c>
      <c r="H20" s="19" t="s">
        <v>16</v>
      </c>
    </row>
    <row r="21" spans="2:11" ht="16.95" customHeight="1" x14ac:dyDescent="0.3">
      <c r="B21" s="166" t="str">
        <f>IF(C21="","Conversion puissance des équipements",IF(OR(C21&gt;10000,C22&gt;10000000,C23&gt;50),"Conversion puissance des équipements (revoir l'unité à la cellule D23)","Conversion puissance des équipements"))</f>
        <v>Conversion puissance des équipements</v>
      </c>
      <c r="C21" s="41" t="str">
        <f>IF(D20="","",IF(C20="","",IF(D20="kW",C20,IF(D20="BTU/h",C20/3416,C20*33494/3416))))</f>
        <v/>
      </c>
      <c r="D21" s="42" t="s">
        <v>19</v>
      </c>
      <c r="F21" s="14" t="s">
        <v>38</v>
      </c>
      <c r="G21" s="43"/>
      <c r="H21" s="43"/>
    </row>
    <row r="22" spans="2:11" ht="16.95" customHeight="1" x14ac:dyDescent="0.3">
      <c r="B22" s="167"/>
      <c r="C22" s="41">
        <f>IF(D20="","",IF(D20="BTU/h",C20,IF(D20="kW",C20*3416,C20*33494)))</f>
        <v>0</v>
      </c>
      <c r="D22" s="42" t="s">
        <v>30</v>
      </c>
      <c r="F22" s="158" t="str">
        <f>IF(C21="","",IF(C21&gt;50,"","Avertissement: le tarif préférentiel d'Hydro-Québec (OÉA) requiert que la puissance appelée soit d'au moins 50 kW."))</f>
        <v/>
      </c>
      <c r="G22" s="158"/>
      <c r="H22" s="158"/>
    </row>
    <row r="23" spans="2:11" ht="16.95" customHeight="1" x14ac:dyDescent="0.3">
      <c r="B23" s="168"/>
      <c r="C23" s="41">
        <f>IF(D20="","",IF(D20="BHP",C20,IF(D20="kW",C20*3416/33494,C20/33494)))</f>
        <v>0</v>
      </c>
      <c r="D23" s="42" t="s">
        <v>116</v>
      </c>
      <c r="F23" s="158"/>
      <c r="G23" s="158"/>
      <c r="H23" s="158"/>
    </row>
    <row r="24" spans="2:11" ht="30" x14ac:dyDescent="0.3">
      <c r="B24" s="44" t="s">
        <v>177</v>
      </c>
      <c r="C24" s="136"/>
      <c r="D24" s="19" t="s">
        <v>7</v>
      </c>
      <c r="F24" s="158" t="str">
        <f>IF(F22="","","Ainsi, il faut s'assurer qu'il y ait un appel de puissance d'au moins 50 kW durant la période de production, en tenant compte de tous les équipements installés (chauffage, ventilateurs, pompes, etc.)")</f>
        <v/>
      </c>
      <c r="G24" s="158"/>
      <c r="H24" s="158"/>
    </row>
    <row r="25" spans="2:11" ht="16.95" customHeight="1" x14ac:dyDescent="0.3">
      <c r="B25" s="23" t="s">
        <v>8</v>
      </c>
      <c r="C25" s="137"/>
      <c r="D25" s="19" t="s">
        <v>9</v>
      </c>
      <c r="F25" s="158"/>
      <c r="G25" s="158"/>
      <c r="H25" s="158"/>
      <c r="I25" s="45"/>
      <c r="J25" s="46"/>
      <c r="K25" s="45"/>
    </row>
    <row r="26" spans="2:11" ht="16.95" customHeight="1" x14ac:dyDescent="0.3">
      <c r="B26" s="24" t="s">
        <v>10</v>
      </c>
      <c r="C26" s="134"/>
      <c r="D26" s="19"/>
      <c r="E26" s="47" t="str">
        <f>IF(OR(C9="",C10="",C11="",D11="",C15="",C19="",C20="",D20="",C18="",C25="",C26="",C16="",G14=""),"FAUX","VRAI")</f>
        <v>FAUX</v>
      </c>
      <c r="F26" s="158"/>
      <c r="G26" s="158"/>
      <c r="H26" s="158"/>
    </row>
    <row r="27" spans="2:11" ht="30.6" customHeight="1" x14ac:dyDescent="0.3">
      <c r="B27" s="162" t="str">
        <f>IF(AND(C25="120/240 V (monophasé)",C26="non"),"Note: Valider avec votre électricien la faisabilité d'implanter un système de chauffage électrique sur un réseau monophasé","")</f>
        <v/>
      </c>
      <c r="C27" s="162"/>
      <c r="D27" s="162"/>
    </row>
    <row r="28" spans="2:11" ht="9" customHeight="1" x14ac:dyDescent="0.3">
      <c r="B28" s="5"/>
      <c r="C28" s="5"/>
      <c r="D28" s="5"/>
    </row>
    <row r="29" spans="2:11" ht="13.8" customHeight="1" x14ac:dyDescent="0.3">
      <c r="B29" s="48" t="s">
        <v>128</v>
      </c>
      <c r="C29" s="49"/>
      <c r="D29" s="49"/>
      <c r="E29" s="49"/>
      <c r="F29" s="50"/>
      <c r="G29" s="50"/>
      <c r="H29" s="50"/>
    </row>
    <row r="30" spans="2:11" ht="5.4" customHeight="1" x14ac:dyDescent="0.3">
      <c r="B30" s="48"/>
      <c r="C30" s="49"/>
      <c r="D30" s="49"/>
      <c r="E30" s="49"/>
      <c r="F30" s="50"/>
      <c r="G30" s="50"/>
      <c r="H30" s="50"/>
    </row>
    <row r="31" spans="2:11" ht="16.95" customHeight="1" thickBot="1" x14ac:dyDescent="0.35">
      <c r="B31" s="7" t="s">
        <v>109</v>
      </c>
      <c r="C31" s="8"/>
      <c r="D31" s="8"/>
      <c r="E31" s="8"/>
      <c r="F31" s="150" t="s">
        <v>41</v>
      </c>
      <c r="G31" s="150"/>
      <c r="H31" s="151"/>
    </row>
    <row r="32" spans="2:11" ht="16.95" customHeight="1" thickTop="1" x14ac:dyDescent="0.3">
      <c r="B32" s="169" t="s">
        <v>80</v>
      </c>
      <c r="C32" s="170"/>
      <c r="D32" s="51"/>
      <c r="E32" s="52"/>
      <c r="F32" s="52"/>
      <c r="G32" s="52"/>
      <c r="H32" s="53"/>
    </row>
    <row r="33" spans="2:9" ht="61.95" customHeight="1" x14ac:dyDescent="0.3">
      <c r="B33" s="24" t="s">
        <v>29</v>
      </c>
      <c r="C33" s="26"/>
      <c r="D33" s="54" t="str">
        <f>IF(E26="FAUX","",C21)</f>
        <v/>
      </c>
      <c r="E33" s="55" t="str">
        <f>IF(D33="","","kW")</f>
        <v/>
      </c>
      <c r="F33" s="159" t="str">
        <f>IF(D33="","","La puissance d'installation des équipements électriques peut être diminuée tout en couvrant une partie importante des besoins de chauffe. Une étude énergétique peut venir optimiser le dimensionnement des équipements.")</f>
        <v/>
      </c>
      <c r="G33" s="160"/>
      <c r="H33" s="161"/>
      <c r="I33" s="6"/>
    </row>
    <row r="34" spans="2:9" ht="30" customHeight="1" x14ac:dyDescent="0.3">
      <c r="B34" s="56" t="s">
        <v>166</v>
      </c>
      <c r="C34" s="57"/>
      <c r="D34" s="58" t="str">
        <f>IF(D33="","",(D33*1000)/(SQRT(3)*600))</f>
        <v/>
      </c>
      <c r="E34" s="59" t="str">
        <f>IF(D34="","","A")</f>
        <v/>
      </c>
      <c r="F34" s="159" t="str">
        <f>IF(D34="","","Le calcul de l'ampérage disponible est réalisé en tenant compte d'un réseau triphasé")</f>
        <v/>
      </c>
      <c r="G34" s="160"/>
      <c r="H34" s="161"/>
      <c r="I34" s="6"/>
    </row>
    <row r="35" spans="2:9" ht="16.95" customHeight="1" x14ac:dyDescent="0.3">
      <c r="B35" s="24" t="s">
        <v>103</v>
      </c>
      <c r="C35" s="26"/>
      <c r="D35" s="60" t="str">
        <f>IF(E26="FAUX","",IF(C16="Air chaud (avec ballons)",C19,1))</f>
        <v/>
      </c>
      <c r="E35" s="59" t="str">
        <f>IF(D35="","",IF(D35&gt;1,"unités","unité"))</f>
        <v/>
      </c>
      <c r="F35" s="61"/>
      <c r="G35" s="62"/>
      <c r="H35" s="63"/>
      <c r="I35" s="6"/>
    </row>
    <row r="36" spans="2:9" ht="16.95" customHeight="1" x14ac:dyDescent="0.3">
      <c r="B36" s="154" t="s">
        <v>46</v>
      </c>
      <c r="C36" s="155"/>
      <c r="D36" s="64"/>
      <c r="E36" s="65"/>
      <c r="F36" s="65"/>
      <c r="G36" s="65"/>
      <c r="H36" s="66"/>
    </row>
    <row r="37" spans="2:9" ht="16.95" customHeight="1" x14ac:dyDescent="0.3">
      <c r="B37" s="67" t="s">
        <v>12</v>
      </c>
      <c r="C37" s="57"/>
      <c r="D37" s="68" t="str">
        <f>IF(E26="FAUX","",IF((C10*G10*C18)=0,"",C10*(G10*C18)))</f>
        <v/>
      </c>
      <c r="E37" s="59" t="str">
        <f>IF(D37="","","kWh")</f>
        <v/>
      </c>
      <c r="F37" s="59"/>
      <c r="G37" s="69"/>
      <c r="H37" s="70"/>
    </row>
    <row r="38" spans="2:9" ht="16.95" customHeight="1" x14ac:dyDescent="0.3">
      <c r="B38" s="67" t="s">
        <v>61</v>
      </c>
      <c r="C38" s="57"/>
      <c r="D38" s="68" t="str">
        <f>IF(E26="FAUX","",D37*G15)</f>
        <v/>
      </c>
      <c r="E38" s="55" t="str">
        <f>IF(D38="","","$")</f>
        <v/>
      </c>
      <c r="F38" s="69"/>
      <c r="G38" s="69"/>
      <c r="H38" s="70"/>
    </row>
    <row r="39" spans="2:9" ht="16.95" customHeight="1" x14ac:dyDescent="0.3">
      <c r="B39" s="67" t="s">
        <v>60</v>
      </c>
      <c r="C39" s="57"/>
      <c r="D39" s="71" t="str">
        <f>IF(E26="FAUX","",D37*G13/1000)</f>
        <v/>
      </c>
      <c r="E39" s="72" t="str">
        <f>IF(D39="","","tCO2eq")</f>
        <v/>
      </c>
      <c r="F39" s="59"/>
      <c r="G39" s="69"/>
      <c r="H39" s="70"/>
    </row>
    <row r="40" spans="2:9" ht="16.95" customHeight="1" x14ac:dyDescent="0.3">
      <c r="B40" s="156" t="s">
        <v>43</v>
      </c>
      <c r="C40" s="157"/>
      <c r="D40" s="73"/>
      <c r="E40" s="74"/>
      <c r="F40" s="74"/>
      <c r="G40" s="74"/>
      <c r="H40" s="75"/>
      <c r="I40" s="14"/>
    </row>
    <row r="41" spans="2:9" ht="16.95" customHeight="1" x14ac:dyDescent="0.3">
      <c r="B41" s="67" t="s">
        <v>44</v>
      </c>
      <c r="C41" s="57"/>
      <c r="D41" s="58" t="str">
        <f>IF(E26="FAUX","",IF(D11="$/année",C11-D38,C12-D38))</f>
        <v/>
      </c>
      <c r="E41" s="69" t="str">
        <f>IF(D41="","","$")</f>
        <v/>
      </c>
      <c r="F41" s="59"/>
      <c r="G41" s="69"/>
      <c r="H41" s="70"/>
      <c r="I41" s="14"/>
    </row>
    <row r="42" spans="2:9" ht="16.95" customHeight="1" x14ac:dyDescent="0.3">
      <c r="B42" s="67" t="s">
        <v>45</v>
      </c>
      <c r="C42" s="57"/>
      <c r="D42" s="76" t="str">
        <f>IF(E26="FAUX","",C13-D39)</f>
        <v/>
      </c>
      <c r="E42" s="69" t="str">
        <f>IF(D42="","","tCO2eq")</f>
        <v/>
      </c>
      <c r="F42" s="59"/>
      <c r="G42" s="69"/>
      <c r="H42" s="70"/>
      <c r="I42" s="14"/>
    </row>
    <row r="43" spans="2:9" ht="16.95" customHeight="1" x14ac:dyDescent="0.3">
      <c r="B43" s="152" t="s">
        <v>47</v>
      </c>
      <c r="C43" s="153"/>
      <c r="D43" s="73"/>
      <c r="E43" s="74"/>
      <c r="F43" s="74"/>
      <c r="G43" s="74"/>
      <c r="H43" s="75"/>
      <c r="I43" s="14"/>
    </row>
    <row r="44" spans="2:9" ht="16.95" customHeight="1" x14ac:dyDescent="0.3">
      <c r="B44" s="67" t="s">
        <v>104</v>
      </c>
      <c r="C44" s="57"/>
      <c r="D44" s="77" t="str">
        <f>IF(E26="FAUX","",SUM(D45:D47))</f>
        <v/>
      </c>
      <c r="E44" s="59" t="str">
        <f t="shared" ref="E44:E49" si="0">IF(D44="","","$")</f>
        <v/>
      </c>
      <c r="F44" s="78"/>
      <c r="G44" s="79"/>
      <c r="H44" s="57"/>
      <c r="I44" s="14"/>
    </row>
    <row r="45" spans="2:9" ht="16.95" customHeight="1" x14ac:dyDescent="0.3">
      <c r="B45" s="80" t="s">
        <v>107</v>
      </c>
      <c r="C45" s="81"/>
      <c r="D45" s="82" t="str">
        <f>IF(E26="FAUX","",IF(C16="Air chaud (avec ballons)",D33*G17,D33*G18))</f>
        <v/>
      </c>
      <c r="E45" s="83" t="str">
        <f t="shared" si="0"/>
        <v/>
      </c>
      <c r="F45" s="79" t="str">
        <f>IF(C16="Air chaud (avec ballons)","Les serpentins électriques sont ajoutés en série des aérothermes existants","")</f>
        <v/>
      </c>
      <c r="G45" s="79"/>
      <c r="H45" s="57"/>
      <c r="I45" s="14"/>
    </row>
    <row r="46" spans="2:9" ht="16.95" customHeight="1" x14ac:dyDescent="0.3">
      <c r="B46" s="80" t="str">
        <f>F19</f>
        <v>Ferblanterie</v>
      </c>
      <c r="C46" s="81"/>
      <c r="D46" s="84" t="str">
        <f>IF(E26="FAUX","",IF(C16="Air chaud (avec ballons)",D35*G19,"N/A"))</f>
        <v/>
      </c>
      <c r="E46" s="83" t="str">
        <f t="shared" si="0"/>
        <v/>
      </c>
      <c r="F46" s="79"/>
      <c r="G46" s="79"/>
      <c r="H46" s="57"/>
      <c r="I46" s="14"/>
    </row>
    <row r="47" spans="2:9" ht="16.95" customHeight="1" x14ac:dyDescent="0.3">
      <c r="B47" s="80" t="str">
        <f>F20</f>
        <v>Raccordement électrique et contrôle</v>
      </c>
      <c r="C47" s="81"/>
      <c r="D47" s="82" t="str">
        <f>IF(E26="FAUX","",D35*G20)</f>
        <v/>
      </c>
      <c r="E47" s="83" t="str">
        <f t="shared" si="0"/>
        <v/>
      </c>
      <c r="F47" s="79"/>
      <c r="G47" s="79"/>
      <c r="H47" s="57"/>
      <c r="I47" s="14"/>
    </row>
    <row r="48" spans="2:9" ht="32.4" customHeight="1" thickBot="1" x14ac:dyDescent="0.35">
      <c r="B48" s="85" t="s">
        <v>105</v>
      </c>
      <c r="C48" s="86"/>
      <c r="D48" s="139"/>
      <c r="E48" s="87" t="str">
        <f t="shared" si="0"/>
        <v/>
      </c>
      <c r="F48" s="163" t="str">
        <f>IF(E26="VRAI","Exemples d'autres coûts: entrée électrique ($$), raccordement au réseau triphasé, gestion de projet, contingences, etc.","")</f>
        <v/>
      </c>
      <c r="G48" s="164"/>
      <c r="H48" s="165"/>
      <c r="I48" s="14"/>
    </row>
    <row r="49" spans="2:9" ht="16.95" customHeight="1" thickTop="1" thickBot="1" x14ac:dyDescent="0.35">
      <c r="B49" s="88" t="s">
        <v>111</v>
      </c>
      <c r="C49" s="89"/>
      <c r="D49" s="90">
        <f>SUM(D44,D48)</f>
        <v>0</v>
      </c>
      <c r="E49" s="91" t="str">
        <f t="shared" si="0"/>
        <v>$</v>
      </c>
      <c r="F49" s="92"/>
      <c r="G49" s="92"/>
      <c r="H49" s="93"/>
      <c r="I49" s="14"/>
    </row>
    <row r="50" spans="2:9" ht="16.95" customHeight="1" thickTop="1" x14ac:dyDescent="0.3">
      <c r="B50" s="94" t="s">
        <v>51</v>
      </c>
      <c r="C50" s="95"/>
      <c r="D50" s="96" t="str">
        <f>IF(E26="FAUX","",D49/D41)</f>
        <v/>
      </c>
      <c r="E50" s="97" t="str">
        <f>IF(D50="","",IF(D50&lt;=1,"an","ans"))</f>
        <v/>
      </c>
      <c r="F50" s="98"/>
      <c r="G50" s="99"/>
      <c r="H50" s="100"/>
    </row>
    <row r="51" spans="2:9" ht="16.95" customHeight="1" x14ac:dyDescent="0.3">
      <c r="B51" s="67" t="s">
        <v>39</v>
      </c>
      <c r="C51" s="57"/>
      <c r="D51" s="140"/>
      <c r="E51" s="55" t="str">
        <f>IF(D51="","","$")</f>
        <v/>
      </c>
      <c r="F51" s="79"/>
      <c r="G51" s="79"/>
      <c r="H51" s="57"/>
    </row>
    <row r="52" spans="2:9" ht="16.95" customHeight="1" thickBot="1" x14ac:dyDescent="0.35">
      <c r="B52" s="101" t="s">
        <v>40</v>
      </c>
      <c r="C52" s="100"/>
      <c r="D52" s="102" t="str">
        <f>IF(E26="FAUX","",IF(D51="","",D51/D49))</f>
        <v/>
      </c>
      <c r="E52" s="55"/>
      <c r="F52" s="61" t="str">
        <f>IF(D52="","",IF(D52&gt;75%,"L'aide financière ne peut pas dépasser 75 % des coûts de projet",""))</f>
        <v/>
      </c>
      <c r="G52" s="69"/>
      <c r="H52" s="70"/>
    </row>
    <row r="53" spans="2:9" ht="16.95" customHeight="1" thickTop="1" thickBot="1" x14ac:dyDescent="0.35">
      <c r="B53" s="88" t="s">
        <v>112</v>
      </c>
      <c r="C53" s="89"/>
      <c r="D53" s="90" t="str">
        <f>IF(E26="FAUX","",D49-D51)</f>
        <v/>
      </c>
      <c r="E53" s="91" t="str">
        <f>IF(D53="","","$")</f>
        <v/>
      </c>
      <c r="F53" s="92"/>
      <c r="G53" s="92"/>
      <c r="H53" s="93"/>
    </row>
    <row r="54" spans="2:9" ht="16.95" customHeight="1" thickTop="1" x14ac:dyDescent="0.3">
      <c r="B54" s="94" t="s">
        <v>52</v>
      </c>
      <c r="C54" s="95"/>
      <c r="D54" s="103" t="str">
        <f>IF(E26="FAUX","",D53/D41)</f>
        <v/>
      </c>
      <c r="E54" s="97" t="str">
        <f>IF(D54="","",IF(D54&lt;=2,"an","ans"))</f>
        <v/>
      </c>
      <c r="F54" s="104"/>
      <c r="G54" s="105"/>
      <c r="H54" s="106"/>
    </row>
    <row r="55" spans="2:9" ht="16.95" customHeight="1" x14ac:dyDescent="0.3">
      <c r="B55" s="107" t="s">
        <v>62</v>
      </c>
    </row>
    <row r="56" spans="2:9" ht="2.4" customHeight="1" x14ac:dyDescent="0.3">
      <c r="B56" s="107"/>
    </row>
    <row r="57" spans="2:9" ht="16.95" customHeight="1" x14ac:dyDescent="0.3">
      <c r="B57" s="108" t="s">
        <v>65</v>
      </c>
    </row>
    <row r="58" spans="2:9" ht="15" customHeight="1" x14ac:dyDescent="0.3">
      <c r="B58" s="147" t="s">
        <v>108</v>
      </c>
      <c r="C58" s="147"/>
      <c r="D58" s="147"/>
      <c r="E58" s="147"/>
      <c r="F58" s="147"/>
      <c r="G58" s="147"/>
      <c r="H58" s="147"/>
    </row>
    <row r="59" spans="2:9" ht="15" customHeight="1" x14ac:dyDescent="0.3">
      <c r="B59" s="110" t="s">
        <v>156</v>
      </c>
      <c r="C59" s="109"/>
      <c r="D59" s="109"/>
      <c r="E59" s="109"/>
      <c r="F59" s="109"/>
      <c r="G59" s="109"/>
      <c r="H59" s="109"/>
    </row>
    <row r="60" spans="2:9" ht="15" x14ac:dyDescent="0.3">
      <c r="B60" s="110" t="s">
        <v>91</v>
      </c>
      <c r="C60" s="109"/>
      <c r="D60" s="109"/>
      <c r="E60" s="109"/>
      <c r="F60" s="109"/>
      <c r="G60" s="109"/>
      <c r="H60" s="109"/>
    </row>
    <row r="61" spans="2:9" ht="15" x14ac:dyDescent="0.3">
      <c r="B61" s="110" t="s">
        <v>176</v>
      </c>
      <c r="C61" s="109"/>
      <c r="D61" s="109"/>
      <c r="E61" s="109"/>
      <c r="F61" s="109"/>
      <c r="G61" s="109"/>
      <c r="H61" s="109"/>
    </row>
    <row r="62" spans="2:9" ht="15" x14ac:dyDescent="0.3">
      <c r="B62" s="110" t="s">
        <v>148</v>
      </c>
      <c r="C62" s="109"/>
      <c r="D62" s="109"/>
      <c r="E62" s="109"/>
      <c r="F62" s="109"/>
      <c r="G62" s="109"/>
      <c r="H62" s="109"/>
    </row>
    <row r="63" spans="2:9" ht="16.95" customHeight="1" x14ac:dyDescent="0.3">
      <c r="B63" s="111" t="s">
        <v>82</v>
      </c>
    </row>
    <row r="64" spans="2:9" ht="16.95" customHeight="1" x14ac:dyDescent="0.3">
      <c r="B64" s="110" t="s">
        <v>170</v>
      </c>
    </row>
    <row r="65" spans="2:8" ht="16.95" customHeight="1" x14ac:dyDescent="0.3">
      <c r="B65" s="110" t="s">
        <v>92</v>
      </c>
    </row>
    <row r="66" spans="2:8" ht="16.95" customHeight="1" x14ac:dyDescent="0.3">
      <c r="B66" s="110" t="s">
        <v>93</v>
      </c>
    </row>
    <row r="67" spans="2:8" ht="16.95" customHeight="1" x14ac:dyDescent="0.3">
      <c r="B67" s="110" t="s">
        <v>94</v>
      </c>
    </row>
    <row r="68" spans="2:8" ht="15" customHeight="1" x14ac:dyDescent="0.3">
      <c r="B68" s="147" t="s">
        <v>83</v>
      </c>
      <c r="C68" s="147"/>
      <c r="D68" s="147"/>
      <c r="E68" s="147"/>
      <c r="F68" s="147"/>
      <c r="G68" s="147"/>
      <c r="H68" s="147"/>
    </row>
    <row r="69" spans="2:8" ht="30" customHeight="1" x14ac:dyDescent="0.3">
      <c r="B69" s="147" t="s">
        <v>84</v>
      </c>
      <c r="C69" s="147"/>
      <c r="D69" s="147"/>
      <c r="E69" s="147"/>
      <c r="F69" s="147"/>
      <c r="G69" s="147"/>
      <c r="H69" s="147"/>
    </row>
    <row r="70" spans="2:8" ht="30" customHeight="1" x14ac:dyDescent="0.3">
      <c r="B70" s="147" t="s">
        <v>157</v>
      </c>
      <c r="C70" s="147"/>
      <c r="D70" s="147"/>
      <c r="E70" s="147"/>
      <c r="F70" s="147"/>
      <c r="G70" s="147"/>
      <c r="H70" s="147"/>
    </row>
    <row r="71" spans="2:8" ht="6.6" customHeight="1" x14ac:dyDescent="0.3">
      <c r="B71" s="111"/>
    </row>
    <row r="72" spans="2:8" ht="16.95" customHeight="1" x14ac:dyDescent="0.3">
      <c r="B72" s="108" t="s">
        <v>66</v>
      </c>
    </row>
    <row r="73" spans="2:8" ht="16.95" customHeight="1" x14ac:dyDescent="0.3">
      <c r="B73" s="147" t="s">
        <v>85</v>
      </c>
      <c r="C73" s="147"/>
      <c r="D73" s="147"/>
      <c r="E73" s="147"/>
      <c r="F73" s="147"/>
      <c r="G73" s="147"/>
      <c r="H73" s="147"/>
    </row>
    <row r="74" spans="2:8" ht="16.95" customHeight="1" x14ac:dyDescent="0.3">
      <c r="B74" s="147" t="s">
        <v>86</v>
      </c>
      <c r="C74" s="147"/>
      <c r="D74" s="147"/>
      <c r="E74" s="147"/>
      <c r="F74" s="147"/>
      <c r="G74" s="147"/>
      <c r="H74" s="147"/>
    </row>
    <row r="75" spans="2:8" ht="30" customHeight="1" x14ac:dyDescent="0.3">
      <c r="B75" s="147" t="s">
        <v>174</v>
      </c>
      <c r="C75" s="147"/>
      <c r="D75" s="147"/>
      <c r="E75" s="147"/>
      <c r="F75" s="147"/>
      <c r="G75" s="147"/>
      <c r="H75" s="147"/>
    </row>
    <row r="76" spans="2:8" ht="30" customHeight="1" x14ac:dyDescent="0.3">
      <c r="B76" s="147" t="s">
        <v>87</v>
      </c>
      <c r="C76" s="147"/>
      <c r="D76" s="147"/>
      <c r="E76" s="147"/>
      <c r="F76" s="147"/>
      <c r="G76" s="147"/>
      <c r="H76" s="147"/>
    </row>
    <row r="77" spans="2:8" ht="31.2" customHeight="1" x14ac:dyDescent="0.3">
      <c r="B77" s="147" t="s">
        <v>158</v>
      </c>
      <c r="C77" s="147"/>
      <c r="D77" s="147"/>
      <c r="E77" s="147"/>
      <c r="F77" s="147"/>
      <c r="G77" s="147"/>
      <c r="H77" s="147"/>
    </row>
    <row r="78" spans="2:8" ht="31.2" customHeight="1" x14ac:dyDescent="0.3">
      <c r="B78" s="147" t="s">
        <v>169</v>
      </c>
      <c r="C78" s="147"/>
      <c r="D78" s="147"/>
      <c r="E78" s="147"/>
      <c r="F78" s="147"/>
      <c r="G78" s="147"/>
      <c r="H78" s="147"/>
    </row>
    <row r="79" spans="2:8" ht="47.4" customHeight="1" x14ac:dyDescent="0.3">
      <c r="B79" s="147" t="s">
        <v>173</v>
      </c>
      <c r="C79" s="147"/>
      <c r="D79" s="147"/>
      <c r="E79" s="147"/>
      <c r="F79" s="147"/>
      <c r="G79" s="147"/>
      <c r="H79" s="147"/>
    </row>
    <row r="80" spans="2:8" ht="16.95" customHeight="1" x14ac:dyDescent="0.3">
      <c r="B80" s="147" t="s">
        <v>175</v>
      </c>
      <c r="C80" s="147"/>
      <c r="D80" s="147"/>
      <c r="E80" s="147"/>
      <c r="F80" s="147"/>
      <c r="G80" s="147"/>
      <c r="H80" s="147"/>
    </row>
    <row r="81" spans="2:8" ht="30" customHeight="1" x14ac:dyDescent="0.3">
      <c r="B81" s="147" t="s">
        <v>172</v>
      </c>
      <c r="C81" s="147"/>
      <c r="D81" s="147"/>
      <c r="E81" s="147"/>
      <c r="F81" s="147"/>
      <c r="G81" s="147"/>
      <c r="H81" s="147"/>
    </row>
    <row r="82" spans="2:8" ht="15.6" customHeight="1" x14ac:dyDescent="0.3">
      <c r="B82" s="111"/>
    </row>
    <row r="83" spans="2:8" ht="16.95" customHeight="1" x14ac:dyDescent="0.3">
      <c r="B83" s="107" t="s">
        <v>63</v>
      </c>
    </row>
    <row r="84" spans="2:8" ht="2.4" customHeight="1" x14ac:dyDescent="0.3">
      <c r="B84" s="107"/>
    </row>
    <row r="85" spans="2:8" ht="16.95" customHeight="1" x14ac:dyDescent="0.3">
      <c r="B85" s="1" t="s">
        <v>79</v>
      </c>
    </row>
    <row r="86" spans="2:8" ht="16.95" customHeight="1" x14ac:dyDescent="0.3">
      <c r="B86" s="111" t="s">
        <v>149</v>
      </c>
    </row>
    <row r="87" spans="2:8" ht="16.95" customHeight="1" x14ac:dyDescent="0.3">
      <c r="B87" s="111" t="s">
        <v>150</v>
      </c>
    </row>
    <row r="88" spans="2:8" ht="16.95" customHeight="1" x14ac:dyDescent="0.3">
      <c r="B88" s="111" t="s">
        <v>159</v>
      </c>
    </row>
    <row r="89" spans="2:8" ht="31.2" customHeight="1" x14ac:dyDescent="0.3">
      <c r="B89" s="147" t="s">
        <v>160</v>
      </c>
      <c r="C89" s="147"/>
      <c r="D89" s="147"/>
      <c r="E89" s="147"/>
      <c r="F89" s="147"/>
      <c r="G89" s="147"/>
      <c r="H89" s="147"/>
    </row>
    <row r="90" spans="2:8" ht="16.95" customHeight="1" x14ac:dyDescent="0.3">
      <c r="B90" s="111" t="s">
        <v>151</v>
      </c>
    </row>
    <row r="91" spans="2:8" ht="16.95" customHeight="1" x14ac:dyDescent="0.3">
      <c r="B91" s="111" t="s">
        <v>152</v>
      </c>
    </row>
    <row r="92" spans="2:8" ht="16.95" customHeight="1" x14ac:dyDescent="0.3">
      <c r="B92" s="111" t="s">
        <v>153</v>
      </c>
    </row>
    <row r="93" spans="2:8" ht="16.95" customHeight="1" x14ac:dyDescent="0.3">
      <c r="B93" s="111" t="s">
        <v>88</v>
      </c>
    </row>
    <row r="94" spans="2:8" ht="16.95" customHeight="1" x14ac:dyDescent="0.3">
      <c r="B94" s="110" t="s">
        <v>89</v>
      </c>
    </row>
    <row r="95" spans="2:8" ht="16.95" customHeight="1" x14ac:dyDescent="0.3">
      <c r="B95" s="110" t="s">
        <v>90</v>
      </c>
    </row>
    <row r="96" spans="2:8" ht="16.95" customHeight="1" x14ac:dyDescent="0.3">
      <c r="B96" s="110" t="s">
        <v>154</v>
      </c>
    </row>
    <row r="97" spans="2:8" ht="30" customHeight="1" x14ac:dyDescent="0.3">
      <c r="B97" s="147" t="s">
        <v>171</v>
      </c>
      <c r="C97" s="147"/>
      <c r="D97" s="147"/>
      <c r="E97" s="147"/>
      <c r="F97" s="147"/>
      <c r="G97" s="147"/>
      <c r="H97" s="147"/>
    </row>
    <row r="98" spans="2:8" ht="16.95" customHeight="1" x14ac:dyDescent="0.3">
      <c r="B98" s="111" t="s">
        <v>155</v>
      </c>
    </row>
    <row r="99" spans="2:8" ht="16.95" customHeight="1" x14ac:dyDescent="0.3">
      <c r="B99" s="111" t="s">
        <v>97</v>
      </c>
    </row>
    <row r="100" spans="2:8" ht="8.4" customHeight="1" x14ac:dyDescent="0.3">
      <c r="B100" s="112"/>
    </row>
    <row r="101" spans="2:8" ht="16.95" customHeight="1" x14ac:dyDescent="0.3">
      <c r="B101" s="107" t="s">
        <v>95</v>
      </c>
    </row>
    <row r="102" spans="2:8" ht="16.95" customHeight="1" x14ac:dyDescent="0.3">
      <c r="B102" s="113" t="s">
        <v>161</v>
      </c>
    </row>
    <row r="103" spans="2:8" ht="16.95" customHeight="1" x14ac:dyDescent="0.3">
      <c r="B103" s="113" t="s">
        <v>162</v>
      </c>
    </row>
    <row r="104" spans="2:8" ht="32.4" customHeight="1" x14ac:dyDescent="0.3">
      <c r="B104" s="146" t="s">
        <v>163</v>
      </c>
      <c r="C104" s="146"/>
      <c r="D104" s="146"/>
      <c r="E104" s="146"/>
      <c r="F104" s="146"/>
      <c r="G104" s="146"/>
      <c r="H104" s="146"/>
    </row>
    <row r="105" spans="2:8" ht="16.95" customHeight="1" x14ac:dyDescent="0.3">
      <c r="B105" s="114"/>
    </row>
    <row r="123" spans="2:10" s="3" customFormat="1" ht="16.95" customHeight="1" x14ac:dyDescent="0.3">
      <c r="B123" s="1"/>
      <c r="D123" s="1"/>
      <c r="E123" s="1"/>
      <c r="F123" s="1"/>
      <c r="G123" s="1"/>
      <c r="H123" s="1"/>
      <c r="I123" s="1"/>
      <c r="J123" s="1"/>
    </row>
    <row r="124" spans="2:10" s="3" customFormat="1" ht="16.95" customHeight="1" x14ac:dyDescent="0.3">
      <c r="B124" s="1"/>
      <c r="D124" s="1"/>
      <c r="E124" s="1"/>
      <c r="F124" s="1"/>
      <c r="G124" s="1"/>
      <c r="H124" s="1"/>
      <c r="I124" s="1"/>
      <c r="J124" s="1"/>
    </row>
    <row r="125" spans="2:10" s="3" customFormat="1" ht="16.95" customHeight="1" x14ac:dyDescent="0.3">
      <c r="D125" s="1"/>
      <c r="E125" s="1"/>
      <c r="F125" s="1"/>
      <c r="G125" s="1"/>
      <c r="H125" s="1"/>
      <c r="I125" s="1"/>
      <c r="J125" s="1"/>
    </row>
    <row r="126" spans="2:10" s="3" customFormat="1" ht="16.95" customHeight="1" x14ac:dyDescent="0.3">
      <c r="D126" s="1"/>
      <c r="E126" s="1"/>
      <c r="F126" s="1"/>
      <c r="G126" s="1"/>
      <c r="H126" s="1"/>
      <c r="I126" s="1"/>
      <c r="J126" s="1"/>
    </row>
    <row r="127" spans="2:10" s="3" customFormat="1" ht="16.95" customHeight="1" x14ac:dyDescent="0.3">
      <c r="D127" s="1"/>
      <c r="E127" s="1"/>
      <c r="F127" s="1"/>
      <c r="G127" s="1"/>
      <c r="H127" s="1"/>
      <c r="I127" s="1"/>
      <c r="J127" s="1"/>
    </row>
    <row r="128" spans="2:10" s="3" customFormat="1" ht="16.95" customHeight="1" x14ac:dyDescent="0.3">
      <c r="D128" s="1"/>
      <c r="E128" s="1"/>
      <c r="F128" s="1"/>
      <c r="G128" s="1"/>
      <c r="H128" s="1"/>
      <c r="I128" s="1"/>
      <c r="J128" s="1"/>
    </row>
    <row r="129" spans="2:10" s="3" customFormat="1" ht="16.95" customHeight="1" x14ac:dyDescent="0.3">
      <c r="B129" s="1"/>
      <c r="D129" s="1"/>
      <c r="E129" s="1"/>
      <c r="F129" s="1"/>
      <c r="G129" s="1"/>
      <c r="H129" s="1"/>
      <c r="I129" s="1"/>
      <c r="J129" s="1"/>
    </row>
    <row r="135" spans="2:10" ht="16.95" customHeight="1" x14ac:dyDescent="0.3">
      <c r="C135" s="1"/>
    </row>
    <row r="136" spans="2:10" ht="16.95" customHeight="1" x14ac:dyDescent="0.3">
      <c r="C136" s="1"/>
    </row>
    <row r="137" spans="2:10" ht="16.95" customHeight="1" x14ac:dyDescent="0.3">
      <c r="C137" s="1"/>
    </row>
    <row r="138" spans="2:10" ht="16.95" customHeight="1" x14ac:dyDescent="0.3">
      <c r="C138" s="1"/>
    </row>
    <row r="139" spans="2:10" ht="16.95" customHeight="1" x14ac:dyDescent="0.3">
      <c r="C139" s="1"/>
    </row>
    <row r="140" spans="2:10" ht="16.95" customHeight="1" x14ac:dyDescent="0.3">
      <c r="C140" s="1"/>
    </row>
    <row r="141" spans="2:10" ht="16.95" customHeight="1" x14ac:dyDescent="0.3">
      <c r="C141" s="1"/>
    </row>
    <row r="142" spans="2:10" ht="16.95" customHeight="1" x14ac:dyDescent="0.3">
      <c r="C142" s="1"/>
    </row>
    <row r="143" spans="2:10" ht="16.95" customHeight="1" x14ac:dyDescent="0.3">
      <c r="C143" s="1"/>
    </row>
    <row r="144" spans="2:10" ht="16.95" customHeight="1" x14ac:dyDescent="0.3">
      <c r="C144" s="1"/>
    </row>
    <row r="145" s="1" customFormat="1" ht="16.95" customHeight="1" x14ac:dyDescent="0.3"/>
    <row r="146" s="1" customFormat="1" ht="16.95" customHeight="1" x14ac:dyDescent="0.3"/>
    <row r="147" s="1" customFormat="1" ht="16.95" customHeight="1" x14ac:dyDescent="0.3"/>
    <row r="148" s="1" customFormat="1" ht="16.95" customHeight="1" x14ac:dyDescent="0.3"/>
    <row r="149" s="1" customFormat="1" ht="16.95" customHeight="1" x14ac:dyDescent="0.3"/>
    <row r="150" s="1" customFormat="1" ht="16.95" customHeight="1" x14ac:dyDescent="0.3"/>
  </sheetData>
  <sheetProtection algorithmName="SHA-512" hashValue="Sx7cD0LI/BCSukbaE1xDD6IXAT5GF94HyfHIdQ6k2LxvqM1I4mZJmX7nOE8UfOoQWSfeSi0FevCQ/eLSC/XPdQ==" saltValue="es/wWvqC82pyuiJlzeh2VQ==" spinCount="100000" sheet="1" objects="1" scenarios="1" formatCells="0" formatColumns="0" formatRows="0"/>
  <mergeCells count="31">
    <mergeCell ref="B27:D27"/>
    <mergeCell ref="F48:H48"/>
    <mergeCell ref="B21:B23"/>
    <mergeCell ref="B77:H77"/>
    <mergeCell ref="B79:H79"/>
    <mergeCell ref="B32:C32"/>
    <mergeCell ref="B58:H58"/>
    <mergeCell ref="B68:H68"/>
    <mergeCell ref="B73:H73"/>
    <mergeCell ref="B74:H74"/>
    <mergeCell ref="B76:H76"/>
    <mergeCell ref="B69:H69"/>
    <mergeCell ref="B70:H70"/>
    <mergeCell ref="B75:H75"/>
    <mergeCell ref="B78:H78"/>
    <mergeCell ref="B1:H1"/>
    <mergeCell ref="B4:H4"/>
    <mergeCell ref="B104:H104"/>
    <mergeCell ref="B81:H81"/>
    <mergeCell ref="B97:H97"/>
    <mergeCell ref="B80:H80"/>
    <mergeCell ref="B89:H89"/>
    <mergeCell ref="B11:B12"/>
    <mergeCell ref="F31:H31"/>
    <mergeCell ref="B43:C43"/>
    <mergeCell ref="B36:C36"/>
    <mergeCell ref="B40:C40"/>
    <mergeCell ref="F22:H23"/>
    <mergeCell ref="F24:H26"/>
    <mergeCell ref="F33:H33"/>
    <mergeCell ref="F34:H34"/>
  </mergeCells>
  <conditionalFormatting sqref="C12">
    <cfRule type="expression" dxfId="8" priority="2">
      <formula>AND($D$12="$/L",$C$12&lt;0.01)</formula>
    </cfRule>
    <cfRule type="expression" dxfId="7" priority="3">
      <formula>AND($D$12="$/m3",$C$12&lt;0.01)</formula>
    </cfRule>
    <cfRule type="expression" dxfId="6" priority="4">
      <formula>AND($D$12="$/année",$C$12&gt;1000000)</formula>
    </cfRule>
  </conditionalFormatting>
  <conditionalFormatting sqref="C21">
    <cfRule type="cellIs" dxfId="5" priority="5" operator="between">
      <formula>10000</formula>
      <formula>999999999</formula>
    </cfRule>
  </conditionalFormatting>
  <conditionalFormatting sqref="C22">
    <cfRule type="cellIs" dxfId="4" priority="9" operator="between">
      <formula>10000000</formula>
      <formula>999999999999</formula>
    </cfRule>
  </conditionalFormatting>
  <conditionalFormatting sqref="C23">
    <cfRule type="cellIs" dxfId="3" priority="8" operator="between">
      <formula>500</formula>
      <formula>999999999</formula>
    </cfRule>
  </conditionalFormatting>
  <conditionalFormatting sqref="D34:F34 G35:H35 F52">
    <cfRule type="expression" dxfId="2" priority="31">
      <formula>AND($F$34&lt;&gt;"",#REF!&gt;1)</formula>
    </cfRule>
  </conditionalFormatting>
  <conditionalFormatting sqref="D52:H52">
    <cfRule type="expression" dxfId="1" priority="25">
      <formula>($D$52&gt;75%)</formula>
    </cfRule>
  </conditionalFormatting>
  <conditionalFormatting sqref="F33">
    <cfRule type="expression" dxfId="0" priority="1">
      <formula>AND($F$34&lt;&gt;"",#REF!&gt;1)</formula>
    </cfRule>
  </conditionalFormatting>
  <dataValidations xWindow="533" yWindow="749" count="7">
    <dataValidation allowBlank="1" showInputMessage="1" showErrorMessage="1" prompt="Entrez la consommation annuelle typique des serres sur votre site de production" sqref="C10" xr:uid="{111E71B5-6187-462F-9786-45A3D95BDEA8}"/>
    <dataValidation allowBlank="1" showInputMessage="1" showErrorMessage="1" prompt="Entrez le coût annuel de chauffage ($/année) ou le coût par unité (ex. $/L) avant taxes" sqref="C11" xr:uid="{313D6724-B82D-4558-9773-3814AB6CF835}"/>
    <dataValidation allowBlank="1" showInputMessage="1" showErrorMessage="1" prompt="Indiquez la somme des puissances brutes des équipements installés actuellement dans les serres sur votre site de production" sqref="C20" xr:uid="{4AAC976A-2F43-46C0-BB7A-EB9BD5B3422B}"/>
    <dataValidation allowBlank="1" showInputMessage="1" showErrorMessage="1" prompt="Indiquez la capacité totale de l'entrée électrique actuelle" sqref="C24" xr:uid="{162F0B2C-3BE7-447B-B9B6-B9BC4016601D}"/>
    <dataValidation allowBlank="1" showInputMessage="1" showErrorMessage="1" prompt="Ajoutez les autres coûts de projet, si disponibles (par ex. entrée électrique, etc.)" sqref="D48:D49" xr:uid="{5E4E283E-4563-4BB8-9CEC-D41CD42EC9E2}"/>
    <dataValidation allowBlank="1" showInputMessage="1" showErrorMessage="1" prompt="Indiquez le montant d'aide financière estimée, si disponible. " sqref="D51" xr:uid="{40940DE7-18D4-43B7-8569-9381B507D5BC}"/>
    <dataValidation allowBlank="1" showInputMessage="1" showErrorMessage="1" prompt="Indiquez le nombre d'unités de génération de chaleur actuellement utlisées dans les serres" sqref="C19" xr:uid="{3B4E448C-706A-4999-A76D-485EBFBDC20A}"/>
  </dataValidations>
  <pageMargins left="0.7" right="0.7" top="0.75" bottom="0.75" header="0.3" footer="0.3"/>
  <pageSetup scale="62" orientation="portrait" r:id="rId1"/>
  <headerFooter>
    <oddHeader>&amp;R&amp;G</oddHeader>
    <oddFooter>&amp;L&amp;D&amp;R&amp;P</oddFooter>
  </headerFooter>
  <rowBreaks count="1" manualBreakCount="1">
    <brk id="54" max="7" man="1"/>
  </rowBreaks>
  <colBreaks count="1" manualBreakCount="1">
    <brk id="8" max="40" man="1"/>
  </colBreaks>
  <ignoredErrors>
    <ignoredError sqref="E50" formula="1"/>
  </ignoredErrors>
  <legacyDrawingHF r:id="rId2"/>
  <extLst>
    <ext xmlns:x14="http://schemas.microsoft.com/office/spreadsheetml/2009/9/main" uri="{CCE6A557-97BC-4b89-ADB6-D9C93CAAB3DF}">
      <x14:dataValidations xmlns:xm="http://schemas.microsoft.com/office/excel/2006/main" xWindow="533" yWindow="749" count="9">
        <x14:dataValidation type="list" allowBlank="1" showInputMessage="1" showErrorMessage="1" prompt="Indiquez le voltage de l'entrée électrique actuelle" xr:uid="{9A387CF4-4817-4130-A861-281FE2ADBE59}">
          <x14:formula1>
            <xm:f>'C. Hypothèses'!$Q$3:$Q$4</xm:f>
          </x14:formula1>
          <xm:sqref>C25</xm:sqref>
        </x14:dataValidation>
        <x14:dataValidation type="list" allowBlank="1" showInputMessage="1" showErrorMessage="1" prompt="Choississez le combustible utilisé actuellement" xr:uid="{F8AC33A2-5064-4F40-8E9B-0A3C1E44ABE3}">
          <x14:formula1>
            <xm:f>'C. Hypothèses'!$B$3:$B$6</xm:f>
          </x14:formula1>
          <xm:sqref>C9</xm:sqref>
        </x14:dataValidation>
        <x14:dataValidation type="list" allowBlank="1" showInputMessage="1" showErrorMessage="1" prompt="Indiquez le type de distribution de chauffage actuel dans les serres sur votre site de production" xr:uid="{400FDAF9-747B-49F9-92B5-F017B4E350DE}">
          <x14:formula1>
            <xm:f>'C. Hypothèses'!$L$3:$L$4</xm:f>
          </x14:formula1>
          <xm:sqref>C16</xm:sqref>
        </x14:dataValidation>
        <x14:dataValidation type="list" allowBlank="1" showInputMessage="1" showErrorMessage="1" xr:uid="{0674A17C-7592-4F77-AA11-3E564964059A}">
          <x14:formula1>
            <xm:f>'C. Hypothèses'!$M$3:$M$5</xm:f>
          </x14:formula1>
          <xm:sqref>D20</xm:sqref>
        </x14:dataValidation>
        <x14:dataValidation type="list" allowBlank="1" showInputMessage="1" showErrorMessage="1" xr:uid="{9DFEB177-4042-401E-8A64-FC05126569FD}">
          <x14:formula1>
            <xm:f>'C. Hypothèses'!$K$3:$K$4</xm:f>
          </x14:formula1>
          <xm:sqref>C26</xm:sqref>
        </x14:dataValidation>
        <x14:dataValidation type="list" allowBlank="1" showInputMessage="1" showErrorMessage="1" prompt="Sélectionnez l'unité qui définit le coût indiqué dans la cellule C10" xr:uid="{D9291429-5ECF-4E7D-9D38-EAC259D53D3A}">
          <x14:formula1>
            <xm:f>'C. Hypothèses'!$N$3:$N$5</xm:f>
          </x14:formula1>
          <xm:sqref>D11</xm:sqref>
        </x14:dataValidation>
        <x14:dataValidation type="list" allowBlank="1" showInputMessage="1" showErrorMessage="1" prompt="Indiquez votre tarif d'électricité d'Hydro-Québec actuel" xr:uid="{D1AA881E-C7C5-4D0D-B1CF-E67241F0A99D}">
          <x14:formula1>
            <xm:f>'C. Hypothèses'!$O$3:$O$4</xm:f>
          </x14:formula1>
          <xm:sqref>G14</xm:sqref>
        </x14:dataValidation>
        <x14:dataValidation type="list" allowBlank="1" showInputMessage="1" showErrorMessage="1" prompt="Indiquez le type d'équipement de chauffage actuellement en fonction dans vos serres de production" xr:uid="{4479F779-AB18-4CF2-94E4-42D76AB0DC8E}">
          <x14:formula1>
            <xm:f>'C. Hypothèses'!$S$3:$S$6</xm:f>
          </x14:formula1>
          <xm:sqref>C15</xm:sqref>
        </x14:dataValidation>
        <x14:dataValidation type="list" allowBlank="1" showInputMessage="1" showErrorMessage="1" prompt="Indiquez l'âge approximatif des équipements actuels" xr:uid="{2B7A6ED8-8965-44C9-8E4A-6A9BFD9E5F3D}">
          <x14:formula1>
            <xm:f>'C. Hypothèses'!$U$3:$U$4</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7FBFB-52C7-4024-A044-E608814B0C37}">
  <dimension ref="B2:U20"/>
  <sheetViews>
    <sheetView topLeftCell="F1" zoomScaleNormal="100" workbookViewId="0">
      <selection activeCell="T6" sqref="T6"/>
    </sheetView>
  </sheetViews>
  <sheetFormatPr baseColWidth="10" defaultColWidth="10.6640625" defaultRowHeight="16.8" x14ac:dyDescent="0.4"/>
  <cols>
    <col min="1" max="9" width="10.6640625" style="126"/>
    <col min="10" max="10" width="18.6640625" style="126" customWidth="1"/>
    <col min="11" max="18" width="10.6640625" style="126"/>
    <col min="19" max="19" width="22.08203125" style="126" customWidth="1"/>
    <col min="20" max="16384" width="10.6640625" style="126"/>
  </cols>
  <sheetData>
    <row r="2" spans="2:21" x14ac:dyDescent="0.4">
      <c r="B2" s="125" t="s">
        <v>13</v>
      </c>
      <c r="C2" s="125" t="s">
        <v>14</v>
      </c>
      <c r="D2" s="125" t="s">
        <v>16</v>
      </c>
      <c r="E2" s="125" t="s">
        <v>11</v>
      </c>
      <c r="F2" s="125" t="s">
        <v>32</v>
      </c>
      <c r="G2" s="125" t="s">
        <v>23</v>
      </c>
      <c r="H2" s="125" t="s">
        <v>31</v>
      </c>
      <c r="I2" s="125" t="s">
        <v>55</v>
      </c>
      <c r="J2" s="125" t="s">
        <v>33</v>
      </c>
      <c r="K2" s="125" t="s">
        <v>67</v>
      </c>
      <c r="L2" s="125" t="s">
        <v>68</v>
      </c>
      <c r="M2" s="125" t="s">
        <v>69</v>
      </c>
      <c r="N2" s="125" t="s">
        <v>70</v>
      </c>
      <c r="O2" s="125" t="s">
        <v>72</v>
      </c>
      <c r="P2" s="125" t="s">
        <v>71</v>
      </c>
      <c r="Q2" s="125" t="s">
        <v>98</v>
      </c>
      <c r="R2" s="125" t="s">
        <v>99</v>
      </c>
      <c r="S2" s="125" t="s">
        <v>113</v>
      </c>
      <c r="T2" s="125" t="s">
        <v>119</v>
      </c>
      <c r="U2" s="125" t="s">
        <v>120</v>
      </c>
    </row>
    <row r="3" spans="2:21" x14ac:dyDescent="0.4">
      <c r="B3" s="126" t="s">
        <v>1</v>
      </c>
      <c r="C3" s="126" t="s">
        <v>15</v>
      </c>
      <c r="D3" s="126" t="s">
        <v>17</v>
      </c>
      <c r="E3" s="126">
        <v>7.0309999999999997</v>
      </c>
      <c r="F3" s="126" t="s">
        <v>24</v>
      </c>
      <c r="G3" s="126">
        <v>1.5439859300000001</v>
      </c>
      <c r="H3" s="126" t="s">
        <v>25</v>
      </c>
      <c r="I3" s="126" t="s">
        <v>53</v>
      </c>
      <c r="J3" s="127">
        <v>0.8</v>
      </c>
      <c r="K3" s="126" t="s">
        <v>20</v>
      </c>
      <c r="L3" s="126" t="s">
        <v>178</v>
      </c>
      <c r="M3" s="126" t="s">
        <v>19</v>
      </c>
      <c r="N3" s="126" t="s">
        <v>17</v>
      </c>
      <c r="O3" s="126" t="s">
        <v>75</v>
      </c>
      <c r="P3" s="126">
        <v>5.9839999999999997E-2</v>
      </c>
      <c r="Q3" s="126" t="s">
        <v>114</v>
      </c>
      <c r="R3" s="126">
        <v>240</v>
      </c>
      <c r="S3" s="126" t="s">
        <v>126</v>
      </c>
      <c r="T3" s="127">
        <v>0.8</v>
      </c>
      <c r="U3" s="126" t="s">
        <v>164</v>
      </c>
    </row>
    <row r="4" spans="2:21" x14ac:dyDescent="0.4">
      <c r="B4" s="126" t="s">
        <v>0</v>
      </c>
      <c r="C4" s="126" t="s">
        <v>15</v>
      </c>
      <c r="D4" s="126" t="s">
        <v>17</v>
      </c>
      <c r="E4" s="126">
        <v>10.694000000000001</v>
      </c>
      <c r="F4" s="126" t="s">
        <v>24</v>
      </c>
      <c r="G4" s="126">
        <v>2.7347320000000002</v>
      </c>
      <c r="H4" s="126" t="s">
        <v>25</v>
      </c>
      <c r="I4" s="126" t="s">
        <v>53</v>
      </c>
      <c r="J4" s="127">
        <v>0.8</v>
      </c>
      <c r="K4" s="126" t="s">
        <v>21</v>
      </c>
      <c r="L4" s="126" t="s">
        <v>22</v>
      </c>
      <c r="M4" s="126" t="s">
        <v>30</v>
      </c>
      <c r="N4" s="126" t="s">
        <v>18</v>
      </c>
      <c r="O4" s="126" t="s">
        <v>73</v>
      </c>
      <c r="P4" s="126">
        <v>6.1879999999999998E-2</v>
      </c>
      <c r="Q4" s="126" t="s">
        <v>115</v>
      </c>
      <c r="R4" s="126">
        <v>600</v>
      </c>
      <c r="S4" s="126" t="s">
        <v>127</v>
      </c>
      <c r="T4" s="127">
        <v>0.9</v>
      </c>
      <c r="U4" s="126" t="s">
        <v>165</v>
      </c>
    </row>
    <row r="5" spans="2:21" ht="17.399999999999999" x14ac:dyDescent="0.4">
      <c r="B5" s="126" t="s">
        <v>2</v>
      </c>
      <c r="C5" s="126" t="s">
        <v>130</v>
      </c>
      <c r="D5" s="126" t="s">
        <v>18</v>
      </c>
      <c r="E5" s="126">
        <v>10.525</v>
      </c>
      <c r="F5" s="126" t="s">
        <v>28</v>
      </c>
      <c r="G5" s="126">
        <v>1.8893090699999999</v>
      </c>
      <c r="H5" s="126" t="s">
        <v>37</v>
      </c>
      <c r="I5" s="126" t="s">
        <v>54</v>
      </c>
      <c r="J5" s="127">
        <v>0.8</v>
      </c>
      <c r="M5" s="126" t="s">
        <v>116</v>
      </c>
      <c r="N5" s="126" t="s">
        <v>56</v>
      </c>
      <c r="S5" s="126" t="s">
        <v>167</v>
      </c>
      <c r="T5" s="127">
        <v>0.82</v>
      </c>
    </row>
    <row r="6" spans="2:21" x14ac:dyDescent="0.4">
      <c r="B6" s="126" t="s">
        <v>3</v>
      </c>
      <c r="C6" s="126" t="s">
        <v>15</v>
      </c>
      <c r="D6" s="126" t="s">
        <v>17</v>
      </c>
      <c r="E6" s="126">
        <v>10.878</v>
      </c>
      <c r="F6" s="126" t="s">
        <v>24</v>
      </c>
      <c r="G6" s="126">
        <v>2.4223592799999998</v>
      </c>
      <c r="H6" s="126" t="s">
        <v>25</v>
      </c>
      <c r="I6" s="126" t="s">
        <v>53</v>
      </c>
      <c r="J6" s="127">
        <v>0.8</v>
      </c>
      <c r="S6" s="126" t="s">
        <v>168</v>
      </c>
      <c r="T6" s="127">
        <v>0.9</v>
      </c>
    </row>
    <row r="7" spans="2:21" x14ac:dyDescent="0.4">
      <c r="B7" s="126" t="s">
        <v>26</v>
      </c>
      <c r="C7" s="126" t="s">
        <v>34</v>
      </c>
      <c r="D7" s="126" t="s">
        <v>27</v>
      </c>
      <c r="G7" s="126">
        <f>0.0020412</f>
        <v>2.0412E-3</v>
      </c>
      <c r="H7" s="126" t="s">
        <v>57</v>
      </c>
      <c r="I7" s="126" t="s">
        <v>58</v>
      </c>
      <c r="J7" s="127">
        <v>1</v>
      </c>
    </row>
    <row r="9" spans="2:21" x14ac:dyDescent="0.4">
      <c r="B9" s="126" t="s">
        <v>76</v>
      </c>
    </row>
    <row r="10" spans="2:21" x14ac:dyDescent="0.4">
      <c r="B10" s="126" t="s">
        <v>77</v>
      </c>
    </row>
    <row r="11" spans="2:21" x14ac:dyDescent="0.4">
      <c r="B11" s="126" t="s">
        <v>78</v>
      </c>
    </row>
    <row r="18" spans="3:3" x14ac:dyDescent="0.4">
      <c r="C18" s="128"/>
    </row>
    <row r="19" spans="3:3" x14ac:dyDescent="0.4">
      <c r="C19" s="128"/>
    </row>
    <row r="20" spans="3:3" x14ac:dyDescent="0.4">
      <c r="C20" s="128"/>
    </row>
  </sheetData>
  <phoneticPr fontId="1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f031ff2-31fc-4495-abd4-880593b6ec39" xsi:nil="true"/>
    <No_x002e_deprojet xmlns="f863f152-d1e8-479c-839d-6096e36a25fa" xsi:nil="true"/>
    <lcf76f155ced4ddcb4097134ff3c332f xmlns="f863f152-d1e8-479c-839d-6096e36a25f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BAB511C774184DB534F0C86E970137" ma:contentTypeVersion="18" ma:contentTypeDescription="Crée un document." ma:contentTypeScope="" ma:versionID="6307e30048eb23233731c6ee133a9eef">
  <xsd:schema xmlns:xsd="http://www.w3.org/2001/XMLSchema" xmlns:xs="http://www.w3.org/2001/XMLSchema" xmlns:p="http://schemas.microsoft.com/office/2006/metadata/properties" xmlns:ns2="6f031ff2-31fc-4495-abd4-880593b6ec39" xmlns:ns3="f863f152-d1e8-479c-839d-6096e36a25fa" targetNamespace="http://schemas.microsoft.com/office/2006/metadata/properties" ma:root="true" ma:fieldsID="b4cc58b15111d359c333d19485ca2d76" ns2:_="" ns3:_="">
    <xsd:import namespace="6f031ff2-31fc-4495-abd4-880593b6ec39"/>
    <xsd:import namespace="f863f152-d1e8-479c-839d-6096e36a25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No_x002e_deprojet"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031ff2-31fc-4495-abd4-880593b6ec39"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5455f066-fc71-4308-a545-fb23404a2b06}" ma:internalName="TaxCatchAll" ma:showField="CatchAllData" ma:web="6f031ff2-31fc-4495-abd4-880593b6ec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863f152-d1e8-479c-839d-6096e36a25f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No_x002e_deprojet" ma:index="20" nillable="true" ma:displayName="No. de projet" ma:decimals="0" ma:format="Dropdown" ma:internalName="No_x002e_deprojet"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328918be-9c7f-47a9-93cc-d560fe756b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AEDEB-51F4-4304-AB2A-DAD9C19CD7F3}">
  <ds:schemaRefs>
    <ds:schemaRef ds:uri="http://schemas.microsoft.com/sharepoint/v3/contenttype/forms"/>
  </ds:schemaRefs>
</ds:datastoreItem>
</file>

<file path=customXml/itemProps2.xml><?xml version="1.0" encoding="utf-8"?>
<ds:datastoreItem xmlns:ds="http://schemas.openxmlformats.org/officeDocument/2006/customXml" ds:itemID="{13EAA810-88C0-4957-ACD0-DD7974F656C5}">
  <ds:schemaRefs>
    <ds:schemaRef ds:uri="http://schemas.microsoft.com/office/2006/documentManagement/types"/>
    <ds:schemaRef ds:uri="6f031ff2-31fc-4495-abd4-880593b6ec39"/>
    <ds:schemaRef ds:uri="http://schemas.microsoft.com/office/infopath/2007/PartnerControls"/>
    <ds:schemaRef ds:uri="f863f152-d1e8-479c-839d-6096e36a25fa"/>
    <ds:schemaRef ds:uri="http://purl.org/dc/term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26E71905-91C2-42EB-9583-1795D05C5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031ff2-31fc-4495-abd4-880593b6ec39"/>
    <ds:schemaRef ds:uri="f863f152-d1e8-479c-839d-6096e36a2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 Instructions</vt:lpstr>
      <vt:lpstr>B. Calculateur</vt:lpstr>
      <vt:lpstr>C. Hypothèses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GDA_20</dc:creator>
  <cp:lastModifiedBy>Alice Lefebvre</cp:lastModifiedBy>
  <cp:lastPrinted>2023-05-24T03:48:38Z</cp:lastPrinted>
  <dcterms:created xsi:type="dcterms:W3CDTF">2023-05-04T20:47:08Z</dcterms:created>
  <dcterms:modified xsi:type="dcterms:W3CDTF">2024-01-10T19:10:04Z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0x0101007ABAB511C774184DB534F0C86E970137</vt:lpwstr>
  </property>
  <property fmtid="{D5CDD505-2E9C-101B-9397-08002B2CF9AE}" pid="3" name="MediaServiceImageTags">
    <vt:lpwstr/>
  </property>
</Properties>
</file>