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M_Diffusion\MDCAP003\Budget_decoupes\"/>
    </mc:Choice>
  </mc:AlternateContent>
  <bookViews>
    <workbookView xWindow="0" yWindow="0" windowWidth="28800" windowHeight="12432"/>
  </bookViews>
  <sheets>
    <sheet name="Introduction" sheetId="22" r:id="rId1"/>
    <sheet name="Données de base" sheetId="19" r:id="rId2"/>
    <sheet name="Entrée découpes en poids " sheetId="17" r:id="rId3"/>
    <sheet name="Possibilités découpes" sheetId="23" r:id="rId4"/>
  </sheets>
  <definedNames>
    <definedName name="solver_adj" localSheetId="2" hidden="1">'Entrée découpes en poids '!#REF!</definedName>
    <definedName name="solver_cvg" localSheetId="2" hidden="1">0.001</definedName>
    <definedName name="solver_drv" localSheetId="2" hidden="1">1</definedName>
    <definedName name="solver_est" localSheetId="2" hidden="1">1</definedName>
    <definedName name="solver_itr" localSheetId="2" hidden="1">100</definedName>
    <definedName name="solver_lin" localSheetId="2" hidden="1">2</definedName>
    <definedName name="solver_neg" localSheetId="2" hidden="1">2</definedName>
    <definedName name="solver_num" localSheetId="2" hidden="1">0</definedName>
    <definedName name="solver_nwt" localSheetId="2" hidden="1">1</definedName>
    <definedName name="solver_opt" localSheetId="2" hidden="1">'Entrée découpes en poids '!#REF!</definedName>
    <definedName name="solver_pre" localSheetId="2" hidden="1">0.000001</definedName>
    <definedName name="solver_scl" localSheetId="2" hidden="1">2</definedName>
    <definedName name="solver_sho" localSheetId="2" hidden="1">2</definedName>
    <definedName name="solver_tim" localSheetId="2" hidden="1">100</definedName>
    <definedName name="solver_tol" localSheetId="2" hidden="1">0.05</definedName>
    <definedName name="solver_typ" localSheetId="2" hidden="1">3</definedName>
    <definedName name="solver_val" localSheetId="2" hidden="1">0.2814</definedName>
    <definedName name="_xlnm.Print_Area" localSheetId="1">'Données de base'!$A$1:$L$34</definedName>
    <definedName name="_xlnm.Print_Area" localSheetId="2">'Entrée découpes en poids '!$A$2:$T$43</definedName>
    <definedName name="_xlnm.Print_Area" localSheetId="0">Introduction!$A$1:$M$24</definedName>
  </definedNames>
  <calcPr calcId="162913"/>
</workbook>
</file>

<file path=xl/calcChain.xml><?xml version="1.0" encoding="utf-8"?>
<calcChain xmlns="http://schemas.openxmlformats.org/spreadsheetml/2006/main">
  <c r="O5" i="17" l="1"/>
  <c r="C31" i="17" l="1"/>
  <c r="C30" i="17"/>
  <c r="C29" i="17"/>
  <c r="C28" i="17"/>
  <c r="C27" i="17"/>
  <c r="C26" i="17"/>
  <c r="C25" i="17"/>
  <c r="C24" i="17"/>
  <c r="C23" i="17"/>
  <c r="C22" i="17"/>
  <c r="C21" i="17"/>
  <c r="C20" i="17"/>
  <c r="C19" i="17"/>
  <c r="C18" i="17"/>
  <c r="C17" i="17"/>
  <c r="C16" i="17"/>
  <c r="C15" i="17"/>
  <c r="C14" i="17"/>
  <c r="C13" i="17"/>
  <c r="C12" i="17"/>
  <c r="C11" i="17"/>
  <c r="C10" i="17"/>
  <c r="C9" i="17"/>
  <c r="C8" i="17"/>
  <c r="G8" i="17"/>
  <c r="I15" i="17"/>
  <c r="H15" i="17"/>
  <c r="H16" i="17"/>
  <c r="H17" i="17"/>
  <c r="H18" i="17"/>
  <c r="H19" i="17"/>
  <c r="H20" i="17"/>
  <c r="H21" i="17"/>
  <c r="H22" i="17"/>
  <c r="H23" i="17"/>
  <c r="H24" i="17"/>
  <c r="H25" i="17"/>
  <c r="H26" i="17"/>
  <c r="H27" i="17"/>
  <c r="H28" i="17"/>
  <c r="H29" i="17"/>
  <c r="H30" i="17"/>
  <c r="H31" i="17"/>
  <c r="J11" i="19" l="1"/>
  <c r="K11" i="19" s="1"/>
  <c r="M5" i="17"/>
  <c r="T43" i="17" s="1"/>
  <c r="O31" i="17"/>
  <c r="O30" i="17"/>
  <c r="O29" i="17"/>
  <c r="O28" i="17"/>
  <c r="O27" i="17"/>
  <c r="O26" i="17"/>
  <c r="O25" i="17"/>
  <c r="O24" i="17"/>
  <c r="O23" i="17"/>
  <c r="O22" i="17"/>
  <c r="O21" i="17"/>
  <c r="O20" i="17"/>
  <c r="O19" i="17"/>
  <c r="O18" i="17"/>
  <c r="O17" i="17"/>
  <c r="O16" i="17"/>
  <c r="O15" i="17"/>
  <c r="E31" i="17"/>
  <c r="E30" i="17"/>
  <c r="E29" i="17"/>
  <c r="E28" i="17"/>
  <c r="E27" i="17"/>
  <c r="E26" i="17"/>
  <c r="E25" i="17"/>
  <c r="E24" i="17"/>
  <c r="E23" i="17"/>
  <c r="E22" i="17"/>
  <c r="E21" i="17"/>
  <c r="E20" i="17"/>
  <c r="E19" i="17"/>
  <c r="E18" i="17"/>
  <c r="E17" i="17"/>
  <c r="E16" i="17"/>
  <c r="E15" i="17"/>
  <c r="E14" i="17"/>
  <c r="M14" i="17" s="1"/>
  <c r="E13" i="17"/>
  <c r="M13" i="17" s="1"/>
  <c r="E12" i="17"/>
  <c r="M12" i="17" s="1"/>
  <c r="E11" i="17"/>
  <c r="M11" i="17" s="1"/>
  <c r="E10" i="17"/>
  <c r="M10" i="17" s="1"/>
  <c r="E9" i="17"/>
  <c r="M9" i="17" s="1"/>
  <c r="E8" i="17"/>
  <c r="M8" i="17" s="1"/>
  <c r="M31" i="17"/>
  <c r="M30" i="17"/>
  <c r="M29" i="17"/>
  <c r="M28" i="17"/>
  <c r="M27" i="17"/>
  <c r="M26" i="17"/>
  <c r="M25" i="17"/>
  <c r="M24" i="17"/>
  <c r="M23" i="17"/>
  <c r="M22" i="17"/>
  <c r="M21" i="17"/>
  <c r="M20" i="17"/>
  <c r="M19" i="17"/>
  <c r="M18" i="17"/>
  <c r="M17" i="17"/>
  <c r="M16" i="17"/>
  <c r="M15" i="17"/>
  <c r="L31" i="17"/>
  <c r="L30" i="17"/>
  <c r="L29" i="17"/>
  <c r="L28" i="17"/>
  <c r="L27" i="17"/>
  <c r="L26" i="17"/>
  <c r="L25" i="17"/>
  <c r="L24" i="17"/>
  <c r="L23" i="17"/>
  <c r="L22" i="17"/>
  <c r="L21" i="17"/>
  <c r="L20" i="17"/>
  <c r="L19" i="17"/>
  <c r="L18" i="17"/>
  <c r="L17" i="17"/>
  <c r="L16" i="17"/>
  <c r="L15" i="17"/>
  <c r="K31" i="17"/>
  <c r="K30" i="17"/>
  <c r="K29" i="17"/>
  <c r="K28" i="17"/>
  <c r="K27" i="17"/>
  <c r="K26" i="17"/>
  <c r="K25" i="17"/>
  <c r="K24" i="17"/>
  <c r="K23" i="17"/>
  <c r="K22" i="17"/>
  <c r="K21" i="17"/>
  <c r="K20" i="17"/>
  <c r="K19" i="17"/>
  <c r="K18" i="17"/>
  <c r="K17" i="17"/>
  <c r="K16" i="17"/>
  <c r="K15" i="17"/>
  <c r="C22" i="19" l="1"/>
  <c r="B33" i="17"/>
  <c r="J22" i="19" l="1"/>
  <c r="H20" i="19"/>
  <c r="I24" i="19"/>
  <c r="J24" i="19" s="1"/>
  <c r="H23" i="19"/>
  <c r="L23" i="19" s="1"/>
  <c r="K23" i="19" s="1"/>
  <c r="F19" i="19"/>
  <c r="J21" i="19"/>
  <c r="H19" i="19"/>
  <c r="L19" i="19" s="1"/>
  <c r="K19" i="19" s="1"/>
  <c r="G24" i="19"/>
  <c r="H24" i="19" s="1"/>
  <c r="L24" i="19" s="1"/>
  <c r="E24" i="19"/>
  <c r="F24" i="19" s="1"/>
  <c r="J20" i="19"/>
  <c r="H22" i="19"/>
  <c r="L22" i="19" s="1"/>
  <c r="K22" i="19" s="1"/>
  <c r="J19" i="19"/>
  <c r="F23" i="19"/>
  <c r="F21" i="19"/>
  <c r="J23" i="19"/>
  <c r="F22" i="19"/>
  <c r="F20" i="19"/>
  <c r="H21" i="19"/>
  <c r="L21" i="19" s="1"/>
  <c r="K21" i="19" s="1"/>
  <c r="B32" i="17"/>
  <c r="B34" i="17" s="1"/>
  <c r="L20" i="19"/>
  <c r="K20" i="19" s="1"/>
  <c r="K24" i="19" l="1"/>
  <c r="M33" i="17"/>
  <c r="G15" i="17"/>
  <c r="H5" i="17"/>
  <c r="Q6" i="17" s="1"/>
  <c r="G9" i="17"/>
  <c r="G10" i="17"/>
  <c r="G11" i="17"/>
  <c r="G12" i="17"/>
  <c r="G29" i="17"/>
  <c r="J18" i="17"/>
  <c r="Q18" i="17" s="1"/>
  <c r="J19" i="17"/>
  <c r="Q19" i="17" s="1"/>
  <c r="J20" i="17"/>
  <c r="Q20" i="17" s="1"/>
  <c r="J21" i="17"/>
  <c r="Q21" i="17" s="1"/>
  <c r="J22" i="17"/>
  <c r="Q22" i="17" s="1"/>
  <c r="J23" i="17"/>
  <c r="Q23" i="17" s="1"/>
  <c r="J24" i="17"/>
  <c r="Q24" i="17" s="1"/>
  <c r="J25" i="17"/>
  <c r="Q25" i="17" s="1"/>
  <c r="J26" i="17"/>
  <c r="Q26" i="17" s="1"/>
  <c r="J27" i="17"/>
  <c r="Q27" i="17" s="1"/>
  <c r="J28" i="17"/>
  <c r="Q28" i="17" s="1"/>
  <c r="J29" i="17"/>
  <c r="Q29" i="17" s="1"/>
  <c r="J30" i="17"/>
  <c r="Q30" i="17" s="1"/>
  <c r="J31" i="17"/>
  <c r="Q31" i="17" s="1"/>
  <c r="I18" i="17"/>
  <c r="I19" i="17"/>
  <c r="I20" i="17"/>
  <c r="I21" i="17"/>
  <c r="I22" i="17"/>
  <c r="I23" i="17"/>
  <c r="I24" i="17"/>
  <c r="I25" i="17"/>
  <c r="I26" i="17"/>
  <c r="I27" i="17"/>
  <c r="I28" i="17"/>
  <c r="I29" i="17"/>
  <c r="I30" i="17"/>
  <c r="I31" i="17"/>
  <c r="N18" i="17"/>
  <c r="N19" i="17"/>
  <c r="N20" i="17"/>
  <c r="N21" i="17"/>
  <c r="N22" i="17"/>
  <c r="N23" i="17"/>
  <c r="N24" i="17"/>
  <c r="N25" i="17"/>
  <c r="N26" i="17"/>
  <c r="N27" i="17"/>
  <c r="N28" i="17"/>
  <c r="N29" i="17"/>
  <c r="N30" i="17"/>
  <c r="N31" i="17"/>
  <c r="G13" i="17"/>
  <c r="G14" i="17"/>
  <c r="G16" i="17"/>
  <c r="G17" i="17"/>
  <c r="G18" i="17"/>
  <c r="G19" i="17"/>
  <c r="G20" i="17"/>
  <c r="G21" i="17"/>
  <c r="G22" i="17"/>
  <c r="G23" i="17"/>
  <c r="G24" i="17"/>
  <c r="G25" i="17"/>
  <c r="G26" i="17"/>
  <c r="G27" i="17"/>
  <c r="G28" i="17"/>
  <c r="G30" i="17"/>
  <c r="G31" i="17"/>
  <c r="G33" i="17" l="1"/>
  <c r="R21" i="17"/>
  <c r="S21" i="17" s="1"/>
  <c r="R29" i="17"/>
  <c r="S29" i="17" s="1"/>
  <c r="R30" i="17"/>
  <c r="S30" i="17" s="1"/>
  <c r="R22" i="17"/>
  <c r="S22" i="17" s="1"/>
  <c r="C33" i="17"/>
  <c r="L11" i="17" s="1"/>
  <c r="R28" i="17"/>
  <c r="S28" i="17" s="1"/>
  <c r="R20" i="17"/>
  <c r="S20" i="17" s="1"/>
  <c r="R25" i="17"/>
  <c r="S25" i="17" s="1"/>
  <c r="R26" i="17"/>
  <c r="S26" i="17" s="1"/>
  <c r="R18" i="17"/>
  <c r="S18" i="17" s="1"/>
  <c r="R27" i="17"/>
  <c r="S27" i="17" s="1"/>
  <c r="R19" i="17"/>
  <c r="S19" i="17" s="1"/>
  <c r="R24" i="17"/>
  <c r="S24" i="17" s="1"/>
  <c r="R31" i="17"/>
  <c r="S31" i="17" s="1"/>
  <c r="R23" i="17"/>
  <c r="S23" i="17" s="1"/>
  <c r="C32" i="17"/>
  <c r="T39" i="17" l="1"/>
  <c r="F39" i="17"/>
  <c r="T30" i="17"/>
  <c r="T29" i="17"/>
  <c r="T20" i="17"/>
  <c r="L13" i="17"/>
  <c r="T21" i="17"/>
  <c r="L14" i="17"/>
  <c r="K10" i="17"/>
  <c r="L10" i="17"/>
  <c r="K12" i="17"/>
  <c r="T22" i="17"/>
  <c r="L12" i="17"/>
  <c r="K9" i="17"/>
  <c r="K14" i="17"/>
  <c r="K13" i="17"/>
  <c r="K8" i="17"/>
  <c r="K11" i="17"/>
  <c r="L8" i="17"/>
  <c r="T26" i="17"/>
  <c r="L9" i="17"/>
  <c r="T24" i="17"/>
  <c r="T25" i="17"/>
  <c r="T27" i="17"/>
  <c r="T28" i="17"/>
  <c r="T18" i="17"/>
  <c r="T19" i="17"/>
  <c r="T31" i="17"/>
  <c r="T23" i="17"/>
  <c r="R38" i="17"/>
  <c r="F40" i="17"/>
  <c r="C34" i="17"/>
  <c r="H8" i="17" l="1"/>
  <c r="I8" i="17" s="1"/>
  <c r="J8" i="17" s="1"/>
  <c r="Q8" i="17" s="1"/>
  <c r="H12" i="17"/>
  <c r="I12" i="17" s="1"/>
  <c r="H11" i="17"/>
  <c r="I11" i="17" s="1"/>
  <c r="H14" i="17"/>
  <c r="I14" i="17" s="1"/>
  <c r="H13" i="17"/>
  <c r="I13" i="17" s="1"/>
  <c r="H10" i="17"/>
  <c r="I10" i="17" s="1"/>
  <c r="H9" i="17"/>
  <c r="I9" i="17" s="1"/>
  <c r="L33" i="17"/>
  <c r="K33" i="17"/>
  <c r="I16" i="17"/>
  <c r="I17" i="17"/>
  <c r="K5" i="17" l="1"/>
  <c r="F43" i="17" s="1"/>
  <c r="J15" i="17"/>
  <c r="J17" i="17"/>
  <c r="J16" i="17"/>
  <c r="Q16" i="17" l="1"/>
  <c r="R16" i="17" s="1"/>
  <c r="S16" i="17" s="1"/>
  <c r="Q17" i="17"/>
  <c r="R17" i="17" s="1"/>
  <c r="Q15" i="17"/>
  <c r="R15" i="17" s="1"/>
  <c r="S15" i="17" s="1"/>
  <c r="N17" i="17"/>
  <c r="S17" i="17" l="1"/>
  <c r="T17" i="17"/>
  <c r="J13" i="17" l="1"/>
  <c r="Q13" i="17" s="1"/>
  <c r="J11" i="17"/>
  <c r="Q11" i="17" s="1"/>
  <c r="J14" i="17"/>
  <c r="J12" i="17"/>
  <c r="Q12" i="17" s="1"/>
  <c r="J10" i="17"/>
  <c r="Q10" i="17" s="1"/>
  <c r="J9" i="17"/>
  <c r="Q9" i="17" s="1"/>
  <c r="R9" i="17" l="1"/>
  <c r="S9" i="17" s="1"/>
  <c r="J33" i="17"/>
  <c r="O8" i="17"/>
  <c r="R8" i="17"/>
  <c r="Q14" i="17"/>
  <c r="R14" i="17" s="1"/>
  <c r="S14" i="17" s="1"/>
  <c r="O9" i="17"/>
  <c r="R11" i="17"/>
  <c r="S11" i="17" s="1"/>
  <c r="O11" i="17"/>
  <c r="R12" i="17"/>
  <c r="S12" i="17" s="1"/>
  <c r="O12" i="17"/>
  <c r="R13" i="17"/>
  <c r="S13" i="17" s="1"/>
  <c r="O13" i="17"/>
  <c r="R10" i="17"/>
  <c r="S10" i="17" s="1"/>
  <c r="O10" i="17"/>
  <c r="O14" i="17"/>
  <c r="O33" i="17" l="1"/>
  <c r="F41" i="17"/>
  <c r="F42" i="17" s="1"/>
  <c r="R33" i="17"/>
  <c r="T41" i="17" s="1"/>
  <c r="T42" i="17" s="1"/>
  <c r="S8" i="17"/>
  <c r="J5" i="17"/>
  <c r="T40" i="17" l="1"/>
</calcChain>
</file>

<file path=xl/comments1.xml><?xml version="1.0" encoding="utf-8"?>
<comments xmlns="http://schemas.openxmlformats.org/spreadsheetml/2006/main">
  <authors>
    <author>Mario Roy</author>
    <author>Sophie Bourgeois</author>
    <author>Patricia Turmel</author>
  </authors>
  <commentList>
    <comment ref="B5" authorId="0" shapeId="0">
      <text>
        <r>
          <rPr>
            <b/>
            <sz val="8"/>
            <color indexed="81"/>
            <rFont val="Tahoma"/>
            <family val="2"/>
          </rPr>
          <t xml:space="preserve">Inscrire le poids de la viande, soit le poids de la carcasse totale obtenu de l'abattoir.  S'assurer que le poids est carcasse chaude sans la tête mais avec les abats
</t>
        </r>
        <r>
          <rPr>
            <sz val="8"/>
            <color indexed="81"/>
            <rFont val="Tahoma"/>
            <family val="2"/>
          </rPr>
          <t xml:space="preserve">
</t>
        </r>
      </text>
    </comment>
    <comment ref="F5" authorId="1" shapeId="0">
      <text>
        <r>
          <rPr>
            <b/>
            <sz val="9"/>
            <color indexed="81"/>
            <rFont val="Tahoma"/>
            <family val="2"/>
          </rPr>
          <t>Prix d'un paquet d'étiquettes divisé par le nombre d'étiquettes.  Inclure tous les frais supplémentaires d'emballage</t>
        </r>
      </text>
    </comment>
    <comment ref="Q6" authorId="2" shapeId="0">
      <text>
        <r>
          <rPr>
            <b/>
            <sz val="9"/>
            <color indexed="81"/>
            <rFont val="Tahoma"/>
            <family val="2"/>
          </rPr>
          <t>CIBLE</t>
        </r>
      </text>
    </comment>
    <comment ref="B32" authorId="0" shapeId="0">
      <text>
        <r>
          <rPr>
            <b/>
            <sz val="8"/>
            <color indexed="81"/>
            <rFont val="Tahoma"/>
            <family val="2"/>
          </rPr>
          <t>La perte est calculée automatiquement.</t>
        </r>
        <r>
          <rPr>
            <sz val="8"/>
            <color indexed="81"/>
            <rFont val="Tahoma"/>
            <family val="2"/>
          </rPr>
          <t xml:space="preserve">
</t>
        </r>
      </text>
    </comment>
    <comment ref="J33" authorId="0" shapeId="0">
      <text>
        <r>
          <rPr>
            <b/>
            <sz val="8"/>
            <color indexed="81"/>
            <rFont val="Tahoma"/>
            <family val="2"/>
          </rPr>
          <t xml:space="preserve">Cette somme correspond au total des prix coûtant de chacune des coupes. Elle correspond au coût de production en cellule G6. </t>
        </r>
        <r>
          <rPr>
            <sz val="8"/>
            <color indexed="81"/>
            <rFont val="Tahoma"/>
            <family val="2"/>
          </rPr>
          <t xml:space="preserve">
</t>
        </r>
      </text>
    </comment>
    <comment ref="R33" authorId="0" shapeId="0">
      <text>
        <r>
          <rPr>
            <sz val="8"/>
            <color indexed="81"/>
            <rFont val="Tahoma"/>
            <family val="2"/>
          </rPr>
          <t>Revenu total calculé au taux souhaité de marge bénéficiaire sur le prix de vente</t>
        </r>
      </text>
    </comment>
  </commentList>
</comments>
</file>

<file path=xl/sharedStrings.xml><?xml version="1.0" encoding="utf-8"?>
<sst xmlns="http://schemas.openxmlformats.org/spreadsheetml/2006/main" count="151" uniqueCount="135">
  <si>
    <t>kg</t>
  </si>
  <si>
    <t>Pertes</t>
  </si>
  <si>
    <t>Total des coupes</t>
  </si>
  <si>
    <t>Total des coupes incluant les pertes</t>
  </si>
  <si>
    <t>Unités</t>
  </si>
  <si>
    <t>Indicateurs</t>
  </si>
  <si>
    <t>Modes de calcul</t>
  </si>
  <si>
    <t xml:space="preserve">Indice global </t>
  </si>
  <si>
    <t>Résultats AVANT salaires de découpe</t>
  </si>
  <si>
    <t>Chevreau</t>
  </si>
  <si>
    <t>Gigots (1/2 avec os)</t>
  </si>
  <si>
    <t>Cubes (partie du devant)</t>
  </si>
  <si>
    <t>Cotelettes (1/2 pouces d'épais 4/pqt)</t>
  </si>
  <si>
    <t>Haché (paquets de +/- 500gr)</t>
  </si>
  <si>
    <t>Revenus totaux - les frais ÷  Total du poids carcasse de l'animal</t>
  </si>
  <si>
    <t>POIDS CARCASSE</t>
  </si>
  <si>
    <t>POIDS VIVANT</t>
  </si>
  <si>
    <t>Conversion pauvre</t>
  </si>
  <si>
    <t>Conversion moyenne haute</t>
  </si>
  <si>
    <t>Conversion très performante</t>
  </si>
  <si>
    <t>Poids carcasse estimé</t>
  </si>
  <si>
    <t>ESTIMÉ</t>
  </si>
  <si>
    <t>Exemples</t>
  </si>
  <si>
    <t>KG</t>
  </si>
  <si>
    <t>DÉCOUPES</t>
  </si>
  <si>
    <t>Gigots avec os</t>
  </si>
  <si>
    <t>Cotelettes ou Carrés</t>
  </si>
  <si>
    <t>Cubes</t>
  </si>
  <si>
    <t>Haché</t>
  </si>
  <si>
    <t>%</t>
  </si>
  <si>
    <t>EXEMPLE SELON VOTRE POIDS CARCASSE</t>
  </si>
  <si>
    <t>Exemple Pauvre</t>
  </si>
  <si>
    <t>COÛT de la carcasse</t>
  </si>
  <si>
    <t>Exemple Moyen</t>
  </si>
  <si>
    <t>Exemple Performant</t>
  </si>
  <si>
    <t>Coeur et foie et rognons</t>
  </si>
  <si>
    <t>MAPAQ</t>
  </si>
  <si>
    <t>Direction régionale de la Mauricie</t>
  </si>
  <si>
    <t>Sophie Bourgeois, CPA</t>
  </si>
  <si>
    <r>
      <t xml:space="preserve">Conversion pour des chevreaux de boucherie aux confitions d'élevage plus optimales  
</t>
    </r>
    <r>
      <rPr>
        <b/>
        <i/>
        <sz val="12"/>
        <rFont val="Arial"/>
        <family val="2"/>
      </rPr>
      <t>48 % - 53 %</t>
    </r>
  </si>
  <si>
    <r>
      <t xml:space="preserve">Conversion pour des chevreaux de boucherie aux moins bonnes conditions d'élevage 
</t>
    </r>
    <r>
      <rPr>
        <b/>
        <i/>
        <sz val="12"/>
        <rFont val="Arial"/>
        <family val="2"/>
      </rPr>
      <t>43 % - 47 %</t>
    </r>
  </si>
  <si>
    <r>
      <t xml:space="preserve">Conversion pour des animaux de hautes performances et aux conditions d'élevage optimales 
</t>
    </r>
    <r>
      <rPr>
        <b/>
        <sz val="9"/>
        <rFont val="Arial"/>
        <family val="2"/>
      </rPr>
      <t>PLUS de 53%</t>
    </r>
  </si>
  <si>
    <t>Conversion moyenne basse</t>
  </si>
  <si>
    <t>Plus de 300 $</t>
  </si>
  <si>
    <t>Entre 225 $ - 300 $</t>
  </si>
  <si>
    <t>Moins de 225 $</t>
  </si>
  <si>
    <t>Mario Roy, agr., M. Sc.</t>
  </si>
  <si>
    <t xml:space="preserve">Adapté et révisé pour le chevreau par : </t>
  </si>
  <si>
    <t>Produit</t>
  </si>
  <si>
    <t>Grosseur des paquets (kg)</t>
  </si>
  <si>
    <t>Coût de la carcasse</t>
  </si>
  <si>
    <t>Revenus totaux en $</t>
  </si>
  <si>
    <t>Marge bénéficiaire en $</t>
  </si>
  <si>
    <t>Prix de vente de l'animal au complet excluant les autres frais au kg</t>
  </si>
  <si>
    <t>Revenus totaux - les frais ÷ Total du poids carcasse de l'animal</t>
  </si>
  <si>
    <t>Version de Mars 2022</t>
  </si>
  <si>
    <t xml:space="preserve">Ce projet a été réalisé par le CRAAQ et financé par l’entremise du Programme de développement sectoriel, en vertu du Partenariat canadien pour l’agriculture, entente conclue entre les gouvernements du Canada et du Québec </t>
  </si>
  <si>
    <t>Coût de l'emballage</t>
  </si>
  <si>
    <t>Abats</t>
  </si>
  <si>
    <t xml:space="preserve"> Poids carcasse de l'animal après abattage et avant la découpe
(voir exemple onglet Introduction)</t>
  </si>
  <si>
    <t>Poids de la coupe / poids carcasse     (%)</t>
  </si>
  <si>
    <t>Prix de vente de chaque découpe     ($/kg)</t>
  </si>
  <si>
    <t>Revenus totaux de chaque découpe           ($)</t>
  </si>
  <si>
    <t>Coût abattage et découpe</t>
  </si>
  <si>
    <t>Ventes totales de toutes les découpes</t>
  </si>
  <si>
    <t>Revenus totaux moins coûts totaux des découpes et autres frais</t>
  </si>
  <si>
    <t>Revenus totaux CIBLÉS moins coûts totaux des découpes</t>
  </si>
  <si>
    <t>Vente de toutes les découpes</t>
  </si>
  <si>
    <t>Entrée découpes en poids</t>
  </si>
  <si>
    <t>VOTRE MOYENNE</t>
  </si>
  <si>
    <t>Dans quelle CATÉGORIE vous situez-vous?</t>
  </si>
  <si>
    <t>Exemple pauvre CATÉGORIE 1</t>
  </si>
  <si>
    <t>Exemple moyen CATÉGORIE 2</t>
  </si>
  <si>
    <t>Exemple performant CATÉGORIE 3</t>
  </si>
  <si>
    <t>TOTAL REVENUS POUR LA CARCASSE</t>
  </si>
  <si>
    <t>TOTAL REVENUS POUR LA CARCASSE SELON 2e Méthode</t>
  </si>
  <si>
    <t>Frais de découpe à forfait / découpe
($)</t>
  </si>
  <si>
    <t>Frais de mise en marché</t>
  </si>
  <si>
    <t>Frais de mise en marché / découpe
($)</t>
  </si>
  <si>
    <t>Outil de calcul de prix de vente en découpe du chevreau de boucherie</t>
  </si>
  <si>
    <t>Données de base</t>
  </si>
  <si>
    <t>Résultats scénario 1</t>
  </si>
  <si>
    <t>Coût de l'abattage et découpe chez le boucher / carcasse
($)</t>
  </si>
  <si>
    <t>Coût unitaire de l'étiquettage
($)</t>
  </si>
  <si>
    <t>Coût de production à la ferme de l'animal complet pour couvrir les dépenses de production.
(voir exemple onglet Introduction)
($)</t>
  </si>
  <si>
    <t>Frais de mise en marché (marge distributeur, transport abattoir-découpe-vente
/ carcasse)
($)</t>
  </si>
  <si>
    <t>AVERTISSEMENT</t>
  </si>
  <si>
    <t xml:space="preserve">Peu de données officielles existent actuellement dans ce secteur. Ainsi, les données utilisées dans cet outil sont des moyennes calculées par des producteurs à partir de leur propre expérience et de leurs propres données d’entreprise. Ces moyennes ne peuvent donc servir de données de référence pour le secteur. L’outil a été réalisé afin de vulgariser les rudiments de cette méthode de calcul du prix de vente des découpes et devrait être utilisé dans cette perspective. Il ne peut servir au calcul des prix de vente de la transformation de ces découpes (saucisses, terrines, etc.). Il est de la responsabilité de l'utilisateur de s'assurer que l’outil convient à ses objectifs. </t>
  </si>
  <si>
    <t>Comment utiliser l'outil de façon efficace?</t>
  </si>
  <si>
    <t>Nous vous recommandons de suivre l'ordre des onglets.
Le producteur complète les cellules au fond BLANC (cellules non protégées) avec ses données d'entreprise. L'écriture apparaîtra en rouge.
Les calculs exécutés dans les autres cellules seront mis à jour automatiquement à chaque fois que seront modifiées les entrées dans les cellules au fond blanc.
Certaines cases sont protégées ainsi que des formules pour éviter qu'on puisse les effacer par erreur dans l'utilisation.
ATTENTION : Il est vivement conseillé à l’utilisateur de saisir ses propres données dans l’outil. Les chiffres en rouge apparaissant dans les cellules à fond blanc sont fournis uniquement à titre d'exemples et ne constituent pas des références.</t>
  </si>
  <si>
    <t>Ce projet est initiative du Comité chèvre du CRAAQ</t>
  </si>
  <si>
    <t>AUTEURS</t>
  </si>
  <si>
    <t>Fermette Harbour</t>
  </si>
  <si>
    <t>POIDS VIVANT (kg)</t>
  </si>
  <si>
    <r>
      <t xml:space="preserve">Conversion pour des races plus laitières </t>
    </r>
    <r>
      <rPr>
        <b/>
        <sz val="12"/>
        <rFont val="Arial"/>
        <family val="2"/>
      </rPr>
      <t>42% et MOINS</t>
    </r>
  </si>
  <si>
    <t>CARCASSE (kg)</t>
  </si>
  <si>
    <t>Poids de la découpe  
 (kg)</t>
  </si>
  <si>
    <t>Nombre de paquets pour chaque découpe</t>
  </si>
  <si>
    <t xml:space="preserve">Outil original réalisé par : </t>
  </si>
  <si>
    <t>SYNTHÈSE SCÉNARIO 1</t>
  </si>
  <si>
    <t>SYNTHÈSE SCÉNARIO 2</t>
  </si>
  <si>
    <t>Coût total de l'animal carcasse
(G6/B6)
($/kg)</t>
  </si>
  <si>
    <r>
      <t>Coût</t>
    </r>
    <r>
      <rPr>
        <b/>
        <sz val="10"/>
        <color theme="9"/>
        <rFont val="Arial"/>
        <family val="2"/>
      </rPr>
      <t xml:space="preserve"> </t>
    </r>
    <r>
      <rPr>
        <b/>
        <sz val="10"/>
        <color theme="0"/>
        <rFont val="Arial"/>
        <family val="2"/>
      </rPr>
      <t>pour l'emballage (étiquettes etc) / découpe
($)</t>
    </r>
  </si>
  <si>
    <t>CALCUL SELON VOTRE POIDS CARCASSE en C20 ou C22</t>
  </si>
  <si>
    <r>
      <rPr>
        <u/>
        <sz val="10"/>
        <rFont val="Arial"/>
        <family val="2"/>
      </rPr>
      <t>(Revenus de ventes - Coûts totaux)</t>
    </r>
    <r>
      <rPr>
        <sz val="10"/>
        <rFont val="Arial"/>
        <family val="2"/>
      </rPr>
      <t xml:space="preserve"> X 100
Revenus de ventes</t>
    </r>
  </si>
  <si>
    <t>(marge bénéficiaire ÷  revenus de ventes totaux) X 100</t>
  </si>
  <si>
    <r>
      <rPr>
        <b/>
        <sz val="10"/>
        <color rgb="FF002060"/>
        <rFont val="Arial"/>
        <family val="2"/>
      </rPr>
      <t>SCÉNARIO 2</t>
    </r>
    <r>
      <rPr>
        <b/>
        <sz val="10"/>
        <rFont val="Arial"/>
        <family val="2"/>
      </rPr>
      <t xml:space="preserve">
Prix de vente qu'on peut avoir avec une autre mise en marché au kg carcasse
($/kg)</t>
    </r>
  </si>
  <si>
    <r>
      <rPr>
        <b/>
        <sz val="10"/>
        <color rgb="FF002060"/>
        <rFont val="Arial"/>
        <family val="2"/>
      </rPr>
      <t>SCÉNARIO 2</t>
    </r>
    <r>
      <rPr>
        <b/>
        <sz val="10"/>
        <rFont val="Arial"/>
        <family val="2"/>
      </rPr>
      <t xml:space="preserve">
PRIX DE VENTE</t>
    </r>
    <r>
      <rPr>
        <b/>
        <sz val="10"/>
        <color theme="9"/>
        <rFont val="Arial"/>
        <family val="2"/>
      </rPr>
      <t xml:space="preserve">
</t>
    </r>
    <r>
      <rPr>
        <b/>
        <sz val="10"/>
        <rFont val="Arial"/>
        <family val="2"/>
      </rPr>
      <t xml:space="preserve">obtenu par chevreau AUTRES METHODES </t>
    </r>
    <r>
      <rPr>
        <sz val="10"/>
        <rFont val="Arial"/>
        <family val="2"/>
      </rPr>
      <t>(coût de production G6 + profit désiré L6)</t>
    </r>
    <r>
      <rPr>
        <b/>
        <sz val="10"/>
        <rFont val="Arial"/>
        <family val="2"/>
      </rPr>
      <t xml:space="preserve">
($)</t>
    </r>
  </si>
  <si>
    <t>Coût total calculé de la découpe
($)</t>
  </si>
  <si>
    <r>
      <t>Profit par animal selon le</t>
    </r>
    <r>
      <rPr>
        <b/>
        <sz val="10"/>
        <color rgb="FFFFFF00"/>
        <rFont val="Arial"/>
        <family val="2"/>
      </rPr>
      <t xml:space="preserve"> SCÉNARIO 1
</t>
    </r>
    <r>
      <rPr>
        <b/>
        <sz val="10"/>
        <color theme="0"/>
        <rFont val="Arial"/>
        <family val="2"/>
      </rPr>
      <t>($)</t>
    </r>
  </si>
  <si>
    <r>
      <t xml:space="preserve">Prix de vente de la carcasse au kg selon le </t>
    </r>
    <r>
      <rPr>
        <b/>
        <sz val="10"/>
        <color rgb="FFFFFF00"/>
        <rFont val="Arial"/>
        <family val="2"/>
      </rPr>
      <t xml:space="preserve">SCÉNARIO 1
</t>
    </r>
    <r>
      <rPr>
        <b/>
        <sz val="10"/>
        <color theme="0"/>
        <rFont val="Arial"/>
        <family val="2"/>
      </rPr>
      <t>(frais exclus)
($/kg)</t>
    </r>
  </si>
  <si>
    <t>La marge bénéficiaire brute est un ratio qui mesure la rentabilité relative des ventes.</t>
  </si>
  <si>
    <t>Marge bénéficiaire brute % =</t>
  </si>
  <si>
    <r>
      <t xml:space="preserve">SCÉNARIO pour déterminer les nouveaux prix de vente de vos découpes en fonction de la marge bénéficiaire brute (APRÈS TOUS LES FRAIS) que vous souhaitez obtenir pour ressembler aux autres méthodes de mise en marché.
CIBLE = marge bénéficiaire brute souhaitée (M5-H5/M5)
(note : il n'y a aucune marge de profit sur les frais de découpes, etc.)  </t>
    </r>
    <r>
      <rPr>
        <b/>
        <sz val="10"/>
        <color rgb="FFC00000"/>
        <rFont val="Arial"/>
        <family val="2"/>
      </rPr>
      <t>ATTENTION :</t>
    </r>
    <r>
      <rPr>
        <b/>
        <sz val="10"/>
        <rFont val="Arial"/>
        <family val="2"/>
      </rPr>
      <t xml:space="preserve">  Ce calcul prend en considération d'appliquer la même marge de profit pour toutes les découpes selon son poids dans la carcasse totale. Il faut aussi tenir compte du marché, ce qui se vend plus ou moins bien dans votre secteur.</t>
    </r>
  </si>
  <si>
    <r>
      <rPr>
        <b/>
        <sz val="10"/>
        <color rgb="FFFFFF00"/>
        <rFont val="Arial"/>
        <family val="2"/>
      </rPr>
      <t>SCÉNARIO 1:</t>
    </r>
    <r>
      <rPr>
        <b/>
        <sz val="10"/>
        <color rgb="FFC00000"/>
        <rFont val="Arial"/>
        <family val="2"/>
      </rPr>
      <t xml:space="preserve"> </t>
    </r>
    <r>
      <rPr>
        <b/>
        <sz val="10"/>
        <color theme="0"/>
        <rFont val="Arial"/>
        <family val="2"/>
      </rPr>
      <t xml:space="preserve">DÉCOUPES
</t>
    </r>
    <r>
      <rPr>
        <sz val="10"/>
        <color theme="0"/>
        <rFont val="Arial"/>
        <family val="2"/>
      </rPr>
      <t>(utilisez ce tableau pour évaluer la marge bénéficiaire brute / découpe)</t>
    </r>
  </si>
  <si>
    <t>Marge bénéficiaire brute INCLUANT tous les frais              (%)</t>
  </si>
  <si>
    <r>
      <rPr>
        <b/>
        <sz val="12"/>
        <color rgb="FF002060"/>
        <rFont val="Arial"/>
        <family val="2"/>
      </rPr>
      <t>SCÉNARIO 2</t>
    </r>
    <r>
      <rPr>
        <b/>
        <sz val="10"/>
        <rFont val="Arial"/>
        <family val="2"/>
      </rPr>
      <t>: Prix de vente calculé à la marge bénéficiaire brute ciblée
($/kg)</t>
    </r>
  </si>
  <si>
    <t>Revenus totaux à la marge bénéficiaire brute ciblée
($)</t>
  </si>
  <si>
    <t>Marge bénéficiaire brute en utilisant d'autres méthodes de mise en marché
(%)</t>
  </si>
  <si>
    <t>Modes de calcul de la marge bénéficiaire brute de :</t>
  </si>
  <si>
    <t>Marge bénéficiaire brute CIBLÉE en $</t>
  </si>
  <si>
    <t>Marge bénéficiaire brute en %</t>
  </si>
  <si>
    <t>Marge bénéficiaire brute CIBLÉE
en %</t>
  </si>
  <si>
    <t>(marge bénéficiaire brute ciblée ÷  revenus des ventes totaux ciblés) X 100</t>
  </si>
  <si>
    <t>Le coût de la carcasse est établi selon les dépenses de l'entreprise par rapport au nombre de chevreaux vendus. Pour faciliter l'analyse, si vous ne connaissez pas le coût de production de vos chevreaux, vous pouvez utiliser les coûts carcasse estimés dans le tableau suivant comme bases de comparaison. Notez qu'il s’agit de moyennes calculées par des producteurs selon leur propre expérience et leurs propres données d’entreprise. Elles ne peuvent donc pas servir de données de référence pour le secteur.</t>
  </si>
  <si>
    <r>
      <t>Le poids de la carcasse d'un animal est toujours déterminé par l'abattoir. Il est généralement calculé sur la carcasse chaude. Il faut s'informer des méthodes utilisées. Le poids d'une carcasse froide peut faire varier légèrement les calculs. Cependant, il peut être estimé afin d'être intégré aux calculs. Le pourcentage qu'on obtient par ce calcul [POIDS VIVANT (kg) / POIDS CARCASSE COMPLÈTE x 100] donne le % de conversion carcasse. Ce pourcentage peut varier beaucoup entre les races, le sexe, l'âge et surtout les conditions d'élevage. Des facteurs de conversion sont présentés dans le tableau suivant comme bases de comparaison. Notez que les moyennes de chaque catégorie ont été calculées par des producteurs à partir de leur propre expérience et de leurs propres données d’entreprise. Elles ne peuvent donc pas servir de données de référence pour le secteur.</t>
    </r>
    <r>
      <rPr>
        <sz val="10"/>
        <color theme="9" tint="-0.249977111117893"/>
        <rFont val="Arial"/>
        <family val="2"/>
      </rPr>
      <t xml:space="preserve">
</t>
    </r>
    <r>
      <rPr>
        <sz val="10"/>
        <rFont val="Arial"/>
        <family val="2"/>
      </rPr>
      <t>ATTENTION : utilisez le poids carcasse de plusieurs animaux pour établir votre % de conversion carcasse moyen.
REMPLIR LES CASES EN BLANC AVEC VOS DONNÉES.</t>
    </r>
  </si>
  <si>
    <t>L'utilisation de cet outil de calcul permet d'analyser différents scénarios de calcul de la marge bénéficiaire brute, impliquant le coût de la carcasse ou de pièces de viande (sur base de poids). Cet outil permet aussi de comparer avec le profit espéré des autres méthodes de mise en marché. La valeur de vente des découpes varie selon la demande du marché de chaque région. Vérifiez les tendances de votre région afin de bien évaluer les prix de vente sélectionnés pour les calculs. Avant de commencer vos scénarios de calcul à l'onglet Entrée découpes en poids, prenez connaissance des Données de base suivantes car elles vous aideront à comprendre des notions et à compléter le chiffrier.</t>
  </si>
  <si>
    <r>
      <rPr>
        <b/>
        <sz val="10"/>
        <color rgb="FF002060"/>
        <rFont val="Arial"/>
        <family val="2"/>
      </rPr>
      <t>SCÉNARIO 2</t>
    </r>
    <r>
      <rPr>
        <b/>
        <sz val="10"/>
        <rFont val="Arial"/>
        <family val="2"/>
      </rPr>
      <t xml:space="preserve">
</t>
    </r>
    <r>
      <rPr>
        <b/>
        <sz val="12"/>
        <color theme="1"/>
        <rFont val="Arial"/>
        <family val="2"/>
      </rPr>
      <t>Profit</t>
    </r>
    <r>
      <rPr>
        <b/>
        <sz val="10"/>
        <rFont val="Arial"/>
        <family val="2"/>
      </rPr>
      <t xml:space="preserve"> désiré par animal</t>
    </r>
    <r>
      <rPr>
        <b/>
        <sz val="8"/>
        <rFont val="Arial"/>
        <family val="2"/>
      </rPr>
      <t xml:space="preserve"> </t>
    </r>
    <r>
      <rPr>
        <sz val="9"/>
        <rFont val="Arial"/>
        <family val="2"/>
      </rPr>
      <t>(ajoutez le montant nécessaire au coût pour égaler le prix de vente des autres méthodes de mise en marché)</t>
    </r>
    <r>
      <rPr>
        <b/>
        <i/>
        <sz val="8"/>
        <rFont val="Arial"/>
        <family val="2"/>
      </rPr>
      <t xml:space="preserve">
</t>
    </r>
    <r>
      <rPr>
        <b/>
        <sz val="10"/>
        <rFont val="Arial"/>
        <family val="2"/>
      </rPr>
      <t>($)</t>
    </r>
  </si>
  <si>
    <r>
      <t>Coût</t>
    </r>
    <r>
      <rPr>
        <b/>
        <i/>
        <sz val="8"/>
        <color theme="0" tint="-0.14999847407452621"/>
        <rFont val="Arial"/>
        <family val="2"/>
      </rPr>
      <t xml:space="preserve"> </t>
    </r>
    <r>
      <rPr>
        <b/>
        <i/>
        <sz val="8"/>
        <color theme="0" tint="-0.249977111117893"/>
        <rFont val="Arial"/>
        <family val="2"/>
      </rPr>
      <t>calculé d'un kilogramme de découpe
($/kg)</t>
    </r>
  </si>
  <si>
    <t>Total en poids ÷ revenus totaux</t>
  </si>
  <si>
    <t>Indice de la découpe</t>
  </si>
  <si>
    <t>POIDS CARCASSE de la cellule J11</t>
  </si>
  <si>
    <r>
      <t>Les découpes dans le chevreau ressemblent beaucoup aux découpes dans l'agneau. Le poids de certaines découpes par rapport au poids total de l'animal peut varier d'une carcasse à l'autre dépendamment de la race, du sexe, de l'âge, des méthodes d'élevage, mais aussi de l'habileté du boucher.  ATTENTION : il est pertinent de faire des essais et d'établir vos propres moyennes dans votre élevage. Vous pouvez le faire en faisant séparer vos bêtes à la découpe et dresser une liste de tous les poids pour chaque découpe par rapport au poids total envoyé à l'abattage. Par exemple : 5 kilos de gigots, 3 kilos de viandes hachées, etc. divisés par le poids total de la carcasse.</t>
    </r>
    <r>
      <rPr>
        <sz val="10"/>
        <color theme="9" tint="-0.249977111117893"/>
        <rFont val="Arial"/>
        <family val="2"/>
      </rPr>
      <t xml:space="preserve"> </t>
    </r>
    <r>
      <rPr>
        <sz val="10"/>
        <rFont val="Arial"/>
        <family val="2"/>
      </rPr>
      <t xml:space="preserve">Des exemples de répartitions (en poids et en %) pour plusieurs découpes sont présentés dans le tableau suivant comme bases de comparaison.
</t>
    </r>
    <r>
      <rPr>
        <b/>
        <sz val="10"/>
        <rFont val="Arial"/>
        <family val="2"/>
      </rPr>
      <t>En indiquant votre catégorie (cellule C23) et sur la base de votre poids carcasse estimé au tableau précédent, vos résultats (en poids et en %) apparaîtront dans les colonnes K et L.</t>
    </r>
  </si>
  <si>
    <t>Cet outil de calcul EXCEL a été adapté pour le CHEVREAU DE BOUCHERIE. Il permet de valider le prix de vente au détail par type de découpe en tenant compte des autres méthodes possibles de mise en marché. L'objectif est d'optimiser le profit d'une démarche de vente en découpe (vente à la ferme, vente au détail, etc.).
Les CALCULS sont faits en fonction d'UN SEUL ANIMAL en carcasse complète.</t>
  </si>
  <si>
    <r>
      <t>Cellules au fond</t>
    </r>
    <r>
      <rPr>
        <b/>
        <sz val="14"/>
        <color indexed="10"/>
        <rFont val="Arial"/>
        <family val="2"/>
      </rPr>
      <t xml:space="preserve"> </t>
    </r>
    <r>
      <rPr>
        <b/>
        <sz val="14"/>
        <color theme="0"/>
        <rFont val="Arial"/>
        <family val="2"/>
      </rPr>
      <t xml:space="preserve">BLANC </t>
    </r>
    <r>
      <rPr>
        <b/>
        <sz val="14"/>
        <rFont val="Arial"/>
        <family val="2"/>
      </rPr>
      <t>:</t>
    </r>
    <r>
      <rPr>
        <b/>
        <sz val="14"/>
        <color indexed="44"/>
        <rFont val="Arial"/>
        <family val="2"/>
      </rPr>
      <t xml:space="preserve"> </t>
    </r>
    <r>
      <rPr>
        <b/>
        <sz val="14"/>
        <rFont val="Arial"/>
        <family val="2"/>
      </rPr>
      <t xml:space="preserve">données à compléter et pouvant être modifiées (cellules non protégées). L'écriture apparaîtra en </t>
    </r>
    <r>
      <rPr>
        <b/>
        <sz val="14"/>
        <color indexed="10"/>
        <rFont val="Arial"/>
        <family val="2"/>
      </rPr>
      <t>rouge</t>
    </r>
    <r>
      <rPr>
        <b/>
        <sz val="14"/>
        <rFont val="Arial"/>
        <family val="2"/>
      </rPr>
      <t xml:space="preserve">.
</t>
    </r>
    <r>
      <rPr>
        <sz val="14"/>
        <rFont val="Arial"/>
        <family val="2"/>
      </rPr>
      <t xml:space="preserve">Les calculs exécutés dans les autres cellules seront mis à jour automatiquement à chaque fois que seront modifiées les entrées dans les cellules au fond blanc. </t>
    </r>
    <r>
      <rPr>
        <b/>
        <sz val="14"/>
        <rFont val="Arial"/>
        <family val="2"/>
      </rPr>
      <t xml:space="preserve">
</t>
    </r>
    <r>
      <rPr>
        <sz val="14"/>
        <rFont val="Arial"/>
        <family val="2"/>
      </rPr>
      <t xml:space="preserve">Les chiffres en </t>
    </r>
    <r>
      <rPr>
        <sz val="14"/>
        <color rgb="FFFF0000"/>
        <rFont val="Arial"/>
        <family val="2"/>
      </rPr>
      <t>rouge</t>
    </r>
    <r>
      <rPr>
        <sz val="14"/>
        <rFont val="Arial"/>
        <family val="2"/>
      </rPr>
      <t xml:space="preserve"> apparaissant dans les cellules à fond blanc sont fournis uniquement à </t>
    </r>
    <r>
      <rPr>
        <u/>
        <sz val="14"/>
        <rFont val="Arial"/>
        <family val="2"/>
      </rPr>
      <t>titre d'exemples</t>
    </r>
    <r>
      <rPr>
        <sz val="14"/>
        <rFont val="Arial"/>
        <family val="2"/>
      </rPr>
      <t xml:space="preserve"> et ne constituent pas des références.
Les CALCULS sont faits en fonction d'UN SEUL ANIMAL en carcasse complète.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</si>
</sst>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 * #,##0_)\ &quot;$&quot;_ ;_ * \(#,##0\)\ &quot;$&quot;_ ;_ * &quot;-&quot;_)\ &quot;$&quot;_ ;_ @_ "/>
    <numFmt numFmtId="44" formatCode="_ * #,##0.00_)\ &quot;$&quot;_ ;_ * \(#,##0.00\)\ &quot;$&quot;_ ;_ * &quot;-&quot;??_)\ &quot;$&quot;_ ;_ @_ "/>
    <numFmt numFmtId="164" formatCode="_ * #,##0.00_)\ _$_ ;_ * \(#,##0.00\)\ _$_ ;_ * &quot;-&quot;??_)\ _$_ ;_ @_ "/>
    <numFmt numFmtId="165" formatCode="_ * #,##0_)\ _$_ ;_ * \(#,##0\)\ _$_ ;_ * &quot;-&quot;_)\ _$_ ;_ @_ "/>
    <numFmt numFmtId="166" formatCode="#,##0\ _$"/>
  </numFmts>
  <fonts count="58" x14ac:knownFonts="1">
    <font>
      <sz val="10"/>
      <name val="Arial"/>
    </font>
    <font>
      <sz val="10"/>
      <name val="Arial"/>
      <family val="2"/>
    </font>
    <font>
      <b/>
      <sz val="10"/>
      <name val="Arial"/>
      <family val="2"/>
    </font>
    <font>
      <b/>
      <sz val="12"/>
      <name val="Arial"/>
      <family val="2"/>
    </font>
    <font>
      <b/>
      <sz val="14"/>
      <name val="Arial"/>
      <family val="2"/>
    </font>
    <font>
      <sz val="10"/>
      <name val="Arial"/>
      <family val="2"/>
    </font>
    <font>
      <b/>
      <i/>
      <sz val="10"/>
      <color indexed="10"/>
      <name val="Arial"/>
      <family val="2"/>
    </font>
    <font>
      <b/>
      <sz val="14"/>
      <color indexed="10"/>
      <name val="Arial"/>
      <family val="2"/>
    </font>
    <font>
      <sz val="8"/>
      <name val="Arial"/>
      <family val="2"/>
    </font>
    <font>
      <b/>
      <sz val="14"/>
      <color indexed="44"/>
      <name val="Arial"/>
      <family val="2"/>
    </font>
    <font>
      <b/>
      <sz val="10"/>
      <color indexed="10"/>
      <name val="Arial"/>
      <family val="2"/>
    </font>
    <font>
      <sz val="8"/>
      <color indexed="81"/>
      <name val="Tahoma"/>
      <family val="2"/>
    </font>
    <font>
      <b/>
      <sz val="8"/>
      <color indexed="81"/>
      <name val="Tahoma"/>
      <family val="2"/>
    </font>
    <font>
      <sz val="14"/>
      <name val="Arial"/>
      <family val="2"/>
    </font>
    <font>
      <b/>
      <sz val="9"/>
      <color indexed="81"/>
      <name val="Tahoma"/>
      <family val="2"/>
    </font>
    <font>
      <b/>
      <sz val="10"/>
      <color theme="0"/>
      <name val="Arial"/>
      <family val="2"/>
    </font>
    <font>
      <b/>
      <sz val="14"/>
      <color theme="0"/>
      <name val="Arial"/>
      <family val="2"/>
    </font>
    <font>
      <b/>
      <sz val="10"/>
      <color rgb="FFFF0000"/>
      <name val="Arial"/>
      <family val="2"/>
    </font>
    <font>
      <b/>
      <i/>
      <sz val="8"/>
      <name val="Arial"/>
      <family val="2"/>
    </font>
    <font>
      <b/>
      <i/>
      <sz val="8"/>
      <color theme="0" tint="-0.249977111117893"/>
      <name val="Arial"/>
      <family val="2"/>
    </font>
    <font>
      <b/>
      <i/>
      <sz val="8"/>
      <color rgb="FF808080"/>
      <name val="Arial"/>
      <family val="2"/>
    </font>
    <font>
      <i/>
      <sz val="10"/>
      <name val="Arial"/>
      <family val="2"/>
    </font>
    <font>
      <i/>
      <sz val="9"/>
      <name val="Arial"/>
      <family val="2"/>
    </font>
    <font>
      <sz val="10"/>
      <color theme="0"/>
      <name val="Arial"/>
      <family val="2"/>
    </font>
    <font>
      <b/>
      <sz val="10"/>
      <color rgb="FFC00000"/>
      <name val="Arial"/>
      <family val="2"/>
    </font>
    <font>
      <b/>
      <sz val="9"/>
      <name val="Arial"/>
      <family val="2"/>
    </font>
    <font>
      <b/>
      <sz val="16"/>
      <name val="Arial"/>
      <family val="2"/>
    </font>
    <font>
      <b/>
      <i/>
      <sz val="12"/>
      <name val="Arial"/>
      <family val="2"/>
    </font>
    <font>
      <b/>
      <sz val="18"/>
      <name val="Arial"/>
      <family val="2"/>
    </font>
    <font>
      <b/>
      <i/>
      <sz val="10"/>
      <color rgb="FFC00000"/>
      <name val="Arial"/>
      <family val="2"/>
    </font>
    <font>
      <i/>
      <sz val="10"/>
      <color rgb="FFC00000"/>
      <name val="Arial"/>
      <family val="2"/>
    </font>
    <font>
      <b/>
      <sz val="28"/>
      <color indexed="9"/>
      <name val="Arial"/>
      <family val="2"/>
    </font>
    <font>
      <b/>
      <sz val="8"/>
      <name val="Arial"/>
      <family val="2"/>
    </font>
    <font>
      <sz val="16"/>
      <name val="Arial"/>
      <family val="2"/>
    </font>
    <font>
      <b/>
      <sz val="16"/>
      <color rgb="FFFF0000"/>
      <name val="Arial"/>
      <family val="2"/>
    </font>
    <font>
      <sz val="10"/>
      <color rgb="FFFF0000"/>
      <name val="Arial"/>
      <family val="2"/>
    </font>
    <font>
      <b/>
      <sz val="12"/>
      <color theme="0"/>
      <name val="Arial"/>
      <family val="2"/>
    </font>
    <font>
      <b/>
      <sz val="12"/>
      <color indexed="10"/>
      <name val="Arial"/>
      <family val="2"/>
    </font>
    <font>
      <b/>
      <sz val="12"/>
      <color rgb="FFFF0000"/>
      <name val="Arial"/>
      <family val="2"/>
    </font>
    <font>
      <b/>
      <sz val="8"/>
      <color theme="0"/>
      <name val="Arial"/>
      <family val="2"/>
    </font>
    <font>
      <b/>
      <sz val="12"/>
      <color rgb="FF002060"/>
      <name val="Arial"/>
      <family val="2"/>
    </font>
    <font>
      <sz val="10"/>
      <color theme="9" tint="-0.249977111117893"/>
      <name val="Arial"/>
      <family val="2"/>
    </font>
    <font>
      <u/>
      <sz val="14"/>
      <name val="Arial"/>
      <family val="2"/>
    </font>
    <font>
      <b/>
      <sz val="28"/>
      <color theme="0"/>
      <name val="Arial"/>
      <family val="2"/>
    </font>
    <font>
      <sz val="11"/>
      <name val="Arial"/>
      <family val="2"/>
    </font>
    <font>
      <b/>
      <sz val="10"/>
      <color rgb="FFFFFF00"/>
      <name val="Arial"/>
      <family val="2"/>
    </font>
    <font>
      <b/>
      <sz val="10"/>
      <color rgb="FF002060"/>
      <name val="Arial"/>
      <family val="2"/>
    </font>
    <font>
      <b/>
      <sz val="12"/>
      <color theme="1"/>
      <name val="Arial"/>
      <family val="2"/>
    </font>
    <font>
      <b/>
      <sz val="10"/>
      <color theme="9"/>
      <name val="Arial"/>
      <family val="2"/>
    </font>
    <font>
      <sz val="14"/>
      <color rgb="FFFF0000"/>
      <name val="Arial"/>
      <family val="2"/>
    </font>
    <font>
      <b/>
      <sz val="22"/>
      <color indexed="9"/>
      <name val="Arial"/>
      <family val="2"/>
    </font>
    <font>
      <sz val="22"/>
      <name val="Arial"/>
      <family val="2"/>
    </font>
    <font>
      <u/>
      <sz val="10"/>
      <color theme="10"/>
      <name val="Arial"/>
    </font>
    <font>
      <u/>
      <sz val="10"/>
      <name val="Arial"/>
      <family val="2"/>
    </font>
    <font>
      <b/>
      <i/>
      <sz val="8"/>
      <color theme="0" tint="-0.14999847407452621"/>
      <name val="Arial"/>
      <family val="2"/>
    </font>
    <font>
      <b/>
      <sz val="11"/>
      <name val="Arial"/>
      <family val="2"/>
    </font>
    <font>
      <sz val="12"/>
      <name val="Arial"/>
      <family val="2"/>
    </font>
    <font>
      <sz val="9"/>
      <name val="Arial"/>
      <family val="2"/>
    </font>
  </fonts>
  <fills count="29">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4659260841701"/>
        <bgColor indexed="64"/>
      </patternFill>
    </fill>
    <fill>
      <patternFill patternType="mediumGray">
        <bgColor theme="0" tint="-0.24994659260841701"/>
      </patternFill>
    </fill>
    <fill>
      <patternFill patternType="solid">
        <fgColor theme="1"/>
        <bgColor indexed="64"/>
      </patternFill>
    </fill>
    <fill>
      <patternFill patternType="solid">
        <fgColor theme="4" tint="-0.24994659260841701"/>
        <bgColor indexed="64"/>
      </patternFill>
    </fill>
    <fill>
      <patternFill patternType="solid">
        <fgColor theme="0" tint="-0.499984740745262"/>
        <bgColor indexed="64"/>
      </patternFill>
    </fill>
    <fill>
      <patternFill patternType="solid">
        <fgColor rgb="FFFFC000"/>
        <bgColor indexed="64"/>
      </patternFill>
    </fill>
    <fill>
      <patternFill patternType="solid">
        <fgColor rgb="FF92D050"/>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5" tint="-0.249977111117893"/>
        <bgColor indexed="64"/>
      </patternFill>
    </fill>
    <fill>
      <patternFill patternType="solid">
        <fgColor rgb="FFFFCC99"/>
        <bgColor indexed="64"/>
      </patternFill>
    </fill>
    <fill>
      <patternFill patternType="solid">
        <fgColor theme="6" tint="0.59999389629810485"/>
        <bgColor indexed="64"/>
      </patternFill>
    </fill>
    <fill>
      <patternFill patternType="solid">
        <fgColor rgb="FFC0000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6" tint="-0.499984740745262"/>
        <bgColor indexed="64"/>
      </patternFill>
    </fill>
    <fill>
      <patternFill patternType="solid">
        <fgColor theme="9" tint="-0.249977111117893"/>
        <bgColor indexed="64"/>
      </patternFill>
    </fill>
    <fill>
      <patternFill patternType="solid">
        <fgColor rgb="FFFFFFCC"/>
        <bgColor indexed="64"/>
      </patternFill>
    </fill>
    <fill>
      <patternFill patternType="solid">
        <fgColor theme="9" tint="0.79998168889431442"/>
        <bgColor indexed="64"/>
      </patternFill>
    </fill>
    <fill>
      <patternFill patternType="solid">
        <fgColor theme="4" tint="0.59996337778862885"/>
        <bgColor indexed="64"/>
      </patternFill>
    </fill>
    <fill>
      <patternFill patternType="solid">
        <fgColor theme="7" tint="0.79998168889431442"/>
        <bgColor indexed="64"/>
      </patternFill>
    </fill>
    <fill>
      <patternFill patternType="solid">
        <fgColor theme="6" tint="-0.24994659260841701"/>
        <bgColor indexed="64"/>
      </patternFill>
    </fill>
    <fill>
      <patternFill patternType="solid">
        <fgColor theme="6" tint="0.59996337778862885"/>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ck">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164"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52" fillId="0" borderId="0" applyNumberFormat="0" applyFill="0" applyBorder="0" applyAlignment="0" applyProtection="0"/>
  </cellStyleXfs>
  <cellXfs count="348">
    <xf numFmtId="0" fontId="0" fillId="0" borderId="0" xfId="0"/>
    <xf numFmtId="0" fontId="0" fillId="3" borderId="0" xfId="0" applyFill="1"/>
    <xf numFmtId="0" fontId="4" fillId="6" borderId="28" xfId="0" applyFont="1" applyFill="1" applyBorder="1" applyAlignment="1">
      <alignment horizontal="center" vertical="center" wrapText="1" shrinkToFit="1"/>
    </xf>
    <xf numFmtId="0" fontId="0" fillId="6" borderId="28" xfId="0" applyFill="1" applyBorder="1"/>
    <xf numFmtId="0" fontId="0" fillId="6" borderId="22" xfId="0" applyFill="1" applyBorder="1"/>
    <xf numFmtId="0" fontId="0" fillId="6" borderId="0" xfId="0" applyFill="1"/>
    <xf numFmtId="0" fontId="0" fillId="6" borderId="0" xfId="0" applyFill="1" applyBorder="1"/>
    <xf numFmtId="0" fontId="0" fillId="6" borderId="29" xfId="0" applyFill="1" applyBorder="1"/>
    <xf numFmtId="0" fontId="0" fillId="6" borderId="2" xfId="0" applyFill="1" applyBorder="1"/>
    <xf numFmtId="0" fontId="2" fillId="6" borderId="16" xfId="0" applyFont="1" applyFill="1" applyBorder="1" applyProtection="1"/>
    <xf numFmtId="44" fontId="2" fillId="6" borderId="0" xfId="0" applyNumberFormat="1" applyFont="1" applyFill="1" applyBorder="1" applyAlignment="1" applyProtection="1">
      <alignment horizontal="center" vertical="center" wrapText="1" shrinkToFit="1"/>
    </xf>
    <xf numFmtId="0" fontId="10" fillId="6" borderId="2" xfId="0" applyFont="1" applyFill="1" applyBorder="1" applyProtection="1"/>
    <xf numFmtId="164" fontId="10" fillId="6" borderId="0" xfId="1" applyNumberFormat="1" applyFont="1" applyFill="1" applyBorder="1" applyProtection="1"/>
    <xf numFmtId="0" fontId="10" fillId="6" borderId="0" xfId="0" applyFont="1" applyFill="1" applyBorder="1" applyProtection="1"/>
    <xf numFmtId="44" fontId="10" fillId="6" borderId="0" xfId="0" applyNumberFormat="1" applyFont="1" applyFill="1" applyBorder="1" applyProtection="1"/>
    <xf numFmtId="44" fontId="5" fillId="6" borderId="0" xfId="0" applyNumberFormat="1" applyFont="1" applyFill="1" applyBorder="1" applyAlignment="1" applyProtection="1">
      <alignment horizontal="center" vertical="center" wrapText="1" shrinkToFit="1"/>
    </xf>
    <xf numFmtId="0" fontId="0" fillId="6" borderId="0" xfId="0" applyFill="1" applyBorder="1" applyProtection="1"/>
    <xf numFmtId="0" fontId="0" fillId="6" borderId="0" xfId="0" applyFill="1" applyProtection="1"/>
    <xf numFmtId="0" fontId="2" fillId="6" borderId="7" xfId="0" applyFont="1" applyFill="1" applyBorder="1" applyAlignment="1">
      <alignment horizontal="center" vertical="center" wrapText="1" shrinkToFit="1"/>
    </xf>
    <xf numFmtId="10" fontId="2" fillId="6" borderId="1" xfId="3" applyNumberFormat="1" applyFont="1" applyFill="1" applyBorder="1"/>
    <xf numFmtId="165" fontId="2" fillId="6" borderId="1" xfId="3" applyNumberFormat="1" applyFont="1" applyFill="1" applyBorder="1"/>
    <xf numFmtId="44" fontId="0" fillId="6" borderId="0" xfId="0" applyNumberFormat="1" applyFill="1" applyBorder="1"/>
    <xf numFmtId="164" fontId="2" fillId="6" borderId="1" xfId="1" applyNumberFormat="1" applyFont="1" applyFill="1" applyBorder="1"/>
    <xf numFmtId="10" fontId="2" fillId="6" borderId="42" xfId="3" applyNumberFormat="1" applyFont="1" applyFill="1" applyBorder="1"/>
    <xf numFmtId="44" fontId="2" fillId="7" borderId="42" xfId="2" applyFont="1" applyFill="1" applyBorder="1" applyProtection="1"/>
    <xf numFmtId="9" fontId="2" fillId="7" borderId="18" xfId="3" applyFont="1" applyFill="1" applyBorder="1"/>
    <xf numFmtId="9" fontId="2" fillId="7" borderId="9" xfId="3" applyFont="1" applyFill="1" applyBorder="1"/>
    <xf numFmtId="9" fontId="2" fillId="6" borderId="11" xfId="3" applyFont="1" applyFill="1" applyBorder="1"/>
    <xf numFmtId="9" fontId="2" fillId="7" borderId="34" xfId="3" applyFont="1" applyFill="1" applyBorder="1"/>
    <xf numFmtId="0" fontId="3" fillId="6" borderId="33" xfId="0" applyFont="1" applyFill="1" applyBorder="1" applyAlignment="1">
      <alignment horizontal="center" vertical="center" wrapText="1" shrinkToFit="1"/>
    </xf>
    <xf numFmtId="164" fontId="2" fillId="6" borderId="1" xfId="1" applyNumberFormat="1" applyFont="1" applyFill="1" applyBorder="1" applyAlignment="1">
      <alignment horizontal="center" vertical="center" wrapText="1" shrinkToFit="1"/>
    </xf>
    <xf numFmtId="10" fontId="2" fillId="6" borderId="1" xfId="3" applyNumberFormat="1" applyFont="1" applyFill="1" applyBorder="1" applyAlignment="1">
      <alignment horizontal="center" vertical="center" wrapText="1" shrinkToFit="1"/>
    </xf>
    <xf numFmtId="44" fontId="2" fillId="7" borderId="11" xfId="2" applyFont="1" applyFill="1" applyBorder="1" applyAlignment="1" applyProtection="1">
      <alignment horizontal="center" vertical="center" wrapText="1" shrinkToFit="1"/>
    </xf>
    <xf numFmtId="44" fontId="2" fillId="6" borderId="1" xfId="2" applyFont="1" applyFill="1" applyBorder="1" applyAlignment="1">
      <alignment horizontal="center" vertical="center" wrapText="1" shrinkToFit="1"/>
    </xf>
    <xf numFmtId="9" fontId="2" fillId="7" borderId="19" xfId="3" applyFont="1" applyFill="1" applyBorder="1" applyAlignment="1">
      <alignment horizontal="center" vertical="center" wrapText="1" shrinkToFit="1"/>
    </xf>
    <xf numFmtId="9" fontId="2" fillId="6" borderId="11" xfId="3" applyFont="1" applyFill="1" applyBorder="1" applyAlignment="1">
      <alignment horizontal="center" vertical="center" wrapText="1" shrinkToFit="1"/>
    </xf>
    <xf numFmtId="9" fontId="2" fillId="7" borderId="11" xfId="3" applyFont="1" applyFill="1" applyBorder="1" applyAlignment="1">
      <alignment horizontal="center" vertical="center" wrapText="1" shrinkToFit="1"/>
    </xf>
    <xf numFmtId="9" fontId="2" fillId="7" borderId="19" xfId="3" applyFont="1" applyFill="1" applyBorder="1"/>
    <xf numFmtId="9" fontId="2" fillId="7" borderId="29" xfId="3" applyFont="1" applyFill="1" applyBorder="1"/>
    <xf numFmtId="0" fontId="2" fillId="6" borderId="35" xfId="0" applyFont="1" applyFill="1" applyBorder="1"/>
    <xf numFmtId="164" fontId="2" fillId="6" borderId="17" xfId="1" applyNumberFormat="1" applyFont="1" applyFill="1" applyBorder="1"/>
    <xf numFmtId="10" fontId="2" fillId="6" borderId="12" xfId="0" applyNumberFormat="1" applyFont="1" applyFill="1" applyBorder="1"/>
    <xf numFmtId="0" fontId="2" fillId="7" borderId="12" xfId="0" applyFont="1" applyFill="1" applyBorder="1" applyProtection="1"/>
    <xf numFmtId="0" fontId="2" fillId="7" borderId="12" xfId="0" applyFont="1" applyFill="1" applyBorder="1"/>
    <xf numFmtId="9" fontId="2" fillId="7" borderId="12" xfId="3" applyFont="1" applyFill="1" applyBorder="1"/>
    <xf numFmtId="9" fontId="2" fillId="7" borderId="13" xfId="3" applyFont="1" applyFill="1" applyBorder="1"/>
    <xf numFmtId="0" fontId="2" fillId="7" borderId="10" xfId="0" applyFont="1" applyFill="1" applyBorder="1"/>
    <xf numFmtId="9" fontId="2" fillId="7" borderId="32" xfId="3" applyFont="1" applyFill="1" applyBorder="1"/>
    <xf numFmtId="0" fontId="0" fillId="6" borderId="0" xfId="0" applyFill="1" applyBorder="1" applyAlignment="1" applyProtection="1">
      <alignment horizontal="center"/>
    </xf>
    <xf numFmtId="0" fontId="15" fillId="9" borderId="31" xfId="0" applyFont="1" applyFill="1" applyBorder="1" applyAlignment="1">
      <alignment horizontal="center" vertical="center" wrapText="1" shrinkToFit="1"/>
    </xf>
    <xf numFmtId="164" fontId="15" fillId="9" borderId="6" xfId="0" applyNumberFormat="1" applyFont="1" applyFill="1" applyBorder="1" applyAlignment="1">
      <alignment horizontal="center" vertical="center" wrapText="1" shrinkToFit="1"/>
    </xf>
    <xf numFmtId="0" fontId="15" fillId="9" borderId="6" xfId="0" applyFont="1" applyFill="1" applyBorder="1" applyAlignment="1">
      <alignment horizontal="center" vertical="center" wrapText="1" shrinkToFit="1"/>
    </xf>
    <xf numFmtId="164" fontId="7" fillId="0" borderId="3" xfId="1" applyNumberFormat="1" applyFont="1" applyFill="1" applyBorder="1" applyProtection="1">
      <protection locked="0"/>
    </xf>
    <xf numFmtId="0" fontId="15" fillId="10" borderId="3" xfId="0" applyFont="1" applyFill="1" applyBorder="1"/>
    <xf numFmtId="0" fontId="15" fillId="10" borderId="3" xfId="0" applyFont="1" applyFill="1" applyBorder="1" applyAlignment="1">
      <alignment horizontal="center" vertical="center" wrapText="1" shrinkToFit="1"/>
    </xf>
    <xf numFmtId="0" fontId="15" fillId="10" borderId="5" xfId="0" applyFont="1" applyFill="1" applyBorder="1" applyAlignment="1">
      <alignment horizontal="center" vertical="center" wrapText="1" shrinkToFit="1"/>
    </xf>
    <xf numFmtId="0" fontId="15" fillId="10" borderId="27" xfId="0" applyFont="1" applyFill="1" applyBorder="1" applyAlignment="1">
      <alignment horizontal="center" vertical="center" wrapText="1" shrinkToFit="1"/>
    </xf>
    <xf numFmtId="0" fontId="15" fillId="10" borderId="4" xfId="0" applyFont="1" applyFill="1" applyBorder="1" applyAlignment="1">
      <alignment horizontal="center" vertical="center" wrapText="1" shrinkToFit="1"/>
    </xf>
    <xf numFmtId="0" fontId="4" fillId="6" borderId="3" xfId="0" applyFont="1" applyFill="1" applyBorder="1" applyProtection="1">
      <protection locked="0"/>
    </xf>
    <xf numFmtId="0" fontId="6" fillId="0" borderId="33" xfId="0" applyFont="1" applyFill="1" applyBorder="1" applyProtection="1">
      <protection locked="0"/>
    </xf>
    <xf numFmtId="164" fontId="10" fillId="0" borderId="1" xfId="1" applyNumberFormat="1" applyFont="1" applyFill="1" applyBorder="1" applyProtection="1">
      <protection locked="0"/>
    </xf>
    <xf numFmtId="164" fontId="2" fillId="0" borderId="1" xfId="3" applyNumberFormat="1" applyFont="1" applyFill="1" applyBorder="1" applyProtection="1">
      <protection locked="0"/>
    </xf>
    <xf numFmtId="44" fontId="10" fillId="0" borderId="1" xfId="2" applyFont="1" applyFill="1" applyBorder="1" applyProtection="1">
      <protection locked="0"/>
    </xf>
    <xf numFmtId="44" fontId="2" fillId="11" borderId="1" xfId="2" applyFont="1" applyFill="1" applyBorder="1" applyAlignment="1">
      <alignment horizontal="center" vertical="center" wrapText="1" shrinkToFit="1"/>
    </xf>
    <xf numFmtId="164" fontId="17" fillId="0" borderId="3" xfId="0" applyNumberFormat="1" applyFont="1" applyFill="1" applyBorder="1" applyProtection="1">
      <protection locked="0"/>
    </xf>
    <xf numFmtId="164" fontId="17" fillId="0" borderId="15" xfId="0" applyNumberFormat="1" applyFont="1" applyFill="1" applyBorder="1" applyProtection="1">
      <protection locked="0"/>
    </xf>
    <xf numFmtId="2" fontId="18" fillId="7" borderId="18" xfId="0" applyNumberFormat="1" applyFont="1" applyFill="1" applyBorder="1"/>
    <xf numFmtId="44" fontId="18" fillId="7" borderId="18" xfId="0" applyNumberFormat="1" applyFont="1" applyFill="1" applyBorder="1"/>
    <xf numFmtId="0" fontId="18" fillId="7" borderId="19" xfId="0" applyFont="1" applyFill="1" applyBorder="1" applyAlignment="1">
      <alignment horizontal="center" vertical="center" wrapText="1" shrinkToFit="1"/>
    </xf>
    <xf numFmtId="0" fontId="18" fillId="7" borderId="20" xfId="0" applyFont="1" applyFill="1" applyBorder="1" applyAlignment="1">
      <alignment horizontal="center" vertical="center" wrapText="1" shrinkToFit="1"/>
    </xf>
    <xf numFmtId="44" fontId="2" fillId="6" borderId="1" xfId="0" applyNumberFormat="1" applyFont="1" applyFill="1" applyBorder="1" applyProtection="1"/>
    <xf numFmtId="44" fontId="2" fillId="6" borderId="1" xfId="1" applyNumberFormat="1" applyFont="1" applyFill="1" applyBorder="1" applyProtection="1"/>
    <xf numFmtId="44" fontId="2" fillId="6" borderId="1" xfId="2" applyNumberFormat="1" applyFont="1" applyFill="1" applyBorder="1" applyProtection="1"/>
    <xf numFmtId="0" fontId="19" fillId="9" borderId="6" xfId="0" applyFont="1" applyFill="1" applyBorder="1" applyAlignment="1">
      <alignment horizontal="center" vertical="center" wrapText="1" shrinkToFit="1"/>
    </xf>
    <xf numFmtId="2" fontId="20" fillId="6" borderId="1" xfId="0" applyNumberFormat="1" applyFont="1" applyFill="1" applyBorder="1" applyProtection="1"/>
    <xf numFmtId="44" fontId="20" fillId="6" borderId="1" xfId="0" applyNumberFormat="1" applyFont="1" applyFill="1" applyBorder="1" applyProtection="1"/>
    <xf numFmtId="10" fontId="2" fillId="6" borderId="1" xfId="2" applyNumberFormat="1" applyFont="1" applyFill="1" applyBorder="1" applyAlignment="1">
      <alignment horizontal="center" vertical="center" wrapText="1" shrinkToFit="1"/>
    </xf>
    <xf numFmtId="0" fontId="15" fillId="13" borderId="7" xfId="0" applyFont="1" applyFill="1" applyBorder="1" applyAlignment="1">
      <alignment horizontal="center" vertical="center" wrapText="1" shrinkToFit="1"/>
    </xf>
    <xf numFmtId="0" fontId="15" fillId="10" borderId="15" xfId="0" applyFont="1" applyFill="1" applyBorder="1" applyAlignment="1">
      <alignment horizontal="center" vertical="center" wrapText="1"/>
    </xf>
    <xf numFmtId="0" fontId="2" fillId="6" borderId="8" xfId="0" applyFont="1" applyFill="1" applyBorder="1" applyAlignment="1">
      <alignment horizontal="center" vertical="center"/>
    </xf>
    <xf numFmtId="0" fontId="2" fillId="6" borderId="10" xfId="0" applyFont="1" applyFill="1" applyBorder="1" applyAlignment="1">
      <alignment horizontal="center" vertical="center"/>
    </xf>
    <xf numFmtId="0" fontId="2" fillId="6" borderId="0" xfId="0" applyFont="1" applyFill="1" applyBorder="1" applyAlignment="1">
      <alignment horizontal="center" vertical="center"/>
    </xf>
    <xf numFmtId="0" fontId="2" fillId="6" borderId="23" xfId="0" applyFont="1" applyFill="1" applyBorder="1" applyAlignment="1">
      <alignment horizontal="center" vertical="center"/>
    </xf>
    <xf numFmtId="0" fontId="2" fillId="12" borderId="17" xfId="0" applyFont="1" applyFill="1" applyBorder="1" applyAlignment="1">
      <alignment horizontal="center" vertical="center" wrapText="1" shrinkToFit="1"/>
    </xf>
    <xf numFmtId="0" fontId="2" fillId="12" borderId="13" xfId="0" applyFont="1" applyFill="1" applyBorder="1" applyAlignment="1">
      <alignment horizontal="center" vertical="center" wrapText="1" shrinkToFit="1"/>
    </xf>
    <xf numFmtId="0" fontId="1" fillId="6" borderId="0" xfId="0" applyFont="1" applyFill="1" applyBorder="1" applyProtection="1"/>
    <xf numFmtId="44" fontId="2" fillId="6" borderId="15" xfId="0" applyNumberFormat="1" applyFont="1" applyFill="1" applyBorder="1" applyAlignment="1" applyProtection="1">
      <alignment horizontal="center" vertical="center" wrapText="1" shrinkToFit="1"/>
    </xf>
    <xf numFmtId="0" fontId="2" fillId="12" borderId="15" xfId="0" applyFont="1" applyFill="1" applyBorder="1" applyAlignment="1">
      <alignment horizontal="center" vertical="center" wrapText="1"/>
    </xf>
    <xf numFmtId="44" fontId="2" fillId="17" borderId="1" xfId="2" applyFont="1" applyFill="1" applyBorder="1"/>
    <xf numFmtId="10" fontId="2" fillId="17" borderId="30" xfId="3" applyNumberFormat="1" applyFont="1" applyFill="1" applyBorder="1"/>
    <xf numFmtId="10" fontId="2" fillId="17" borderId="1" xfId="2" applyNumberFormat="1" applyFont="1" applyFill="1" applyBorder="1"/>
    <xf numFmtId="44" fontId="4" fillId="17" borderId="30" xfId="2" applyFont="1" applyFill="1" applyBorder="1" applyAlignment="1" applyProtection="1">
      <alignment horizontal="center" vertical="center" wrapText="1" shrinkToFit="1"/>
    </xf>
    <xf numFmtId="44" fontId="4" fillId="17" borderId="30" xfId="0" applyNumberFormat="1" applyFont="1" applyFill="1" applyBorder="1" applyAlignment="1" applyProtection="1">
      <alignment horizontal="center" vertical="center" wrapText="1" shrinkToFit="1"/>
    </xf>
    <xf numFmtId="10" fontId="4" fillId="17" borderId="30" xfId="3" applyNumberFormat="1" applyFont="1" applyFill="1" applyBorder="1" applyAlignment="1" applyProtection="1">
      <alignment horizontal="center" vertical="center" wrapText="1" shrinkToFit="1"/>
    </xf>
    <xf numFmtId="44" fontId="1" fillId="17" borderId="1" xfId="2" applyFont="1" applyFill="1" applyBorder="1"/>
    <xf numFmtId="10" fontId="1" fillId="17" borderId="1" xfId="3" applyNumberFormat="1" applyFont="1" applyFill="1" applyBorder="1"/>
    <xf numFmtId="0" fontId="2" fillId="19" borderId="2" xfId="0" applyFont="1" applyFill="1" applyBorder="1" applyAlignment="1">
      <alignment horizontal="left" vertical="center" wrapText="1" shrinkToFit="1"/>
    </xf>
    <xf numFmtId="0" fontId="2" fillId="19" borderId="0" xfId="0" applyFont="1" applyFill="1" applyBorder="1" applyAlignment="1">
      <alignment horizontal="left" vertical="center" wrapText="1" shrinkToFit="1"/>
    </xf>
    <xf numFmtId="0" fontId="2" fillId="19" borderId="29" xfId="0" applyFont="1" applyFill="1" applyBorder="1" applyAlignment="1">
      <alignment horizontal="left" vertical="center" wrapText="1" shrinkToFit="1"/>
    </xf>
    <xf numFmtId="0" fontId="2" fillId="19" borderId="43" xfId="0" applyFont="1" applyFill="1" applyBorder="1" applyAlignment="1">
      <alignment horizontal="left" vertical="center" wrapText="1" shrinkToFit="1"/>
    </xf>
    <xf numFmtId="0" fontId="2" fillId="19" borderId="26" xfId="0" applyFont="1" applyFill="1" applyBorder="1" applyAlignment="1">
      <alignment horizontal="left" vertical="center" wrapText="1" shrinkToFit="1"/>
    </xf>
    <xf numFmtId="0" fontId="2" fillId="19" borderId="44" xfId="0" applyFont="1" applyFill="1" applyBorder="1" applyAlignment="1">
      <alignment horizontal="left" vertical="center" wrapText="1" shrinkToFit="1"/>
    </xf>
    <xf numFmtId="0" fontId="15" fillId="8" borderId="0" xfId="0" applyFont="1" applyFill="1" applyBorder="1" applyAlignment="1">
      <alignment horizontal="left" vertical="center" wrapText="1" shrinkToFit="1"/>
    </xf>
    <xf numFmtId="0" fontId="15" fillId="8" borderId="29" xfId="0" applyFont="1" applyFill="1" applyBorder="1" applyAlignment="1">
      <alignment horizontal="left" vertical="center" wrapText="1" shrinkToFit="1"/>
    </xf>
    <xf numFmtId="0" fontId="15" fillId="8" borderId="2" xfId="0" applyFont="1" applyFill="1" applyBorder="1" applyAlignment="1">
      <alignment horizontal="left" vertical="center" wrapText="1" shrinkToFit="1"/>
    </xf>
    <xf numFmtId="0" fontId="2" fillId="19" borderId="46" xfId="0" applyFont="1" applyFill="1" applyBorder="1" applyAlignment="1">
      <alignment horizontal="left" vertical="center" wrapText="1" shrinkToFit="1"/>
    </xf>
    <xf numFmtId="0" fontId="15" fillId="13" borderId="14" xfId="0" applyFont="1" applyFill="1" applyBorder="1" applyAlignment="1">
      <alignment horizontal="left" vertical="center" wrapText="1" shrinkToFit="1"/>
    </xf>
    <xf numFmtId="0" fontId="21" fillId="19" borderId="17" xfId="0" applyFont="1" applyFill="1" applyBorder="1" applyAlignment="1">
      <alignment horizontal="left" vertical="center" wrapText="1" shrinkToFit="1"/>
    </xf>
    <xf numFmtId="9" fontId="2" fillId="16" borderId="17" xfId="0" applyNumberFormat="1" applyFont="1" applyFill="1" applyBorder="1" applyAlignment="1">
      <alignment horizontal="center" vertical="center" wrapText="1" shrinkToFit="1"/>
    </xf>
    <xf numFmtId="9" fontId="2" fillId="23" borderId="17" xfId="0" applyNumberFormat="1" applyFont="1" applyFill="1" applyBorder="1" applyAlignment="1">
      <alignment horizontal="center" vertical="center" wrapText="1" shrinkToFit="1"/>
    </xf>
    <xf numFmtId="9" fontId="2" fillId="19" borderId="17" xfId="0" applyNumberFormat="1" applyFont="1" applyFill="1" applyBorder="1" applyAlignment="1">
      <alignment horizontal="center" vertical="center" wrapText="1" shrinkToFit="1"/>
    </xf>
    <xf numFmtId="9" fontId="2" fillId="20" borderId="17" xfId="0" applyNumberFormat="1" applyFont="1" applyFill="1" applyBorder="1" applyAlignment="1">
      <alignment horizontal="center" vertical="center" wrapText="1" shrinkToFit="1"/>
    </xf>
    <xf numFmtId="0" fontId="2" fillId="14" borderId="1" xfId="0" applyFont="1" applyFill="1" applyBorder="1" applyAlignment="1">
      <alignment horizontal="left" vertical="center" wrapText="1" shrinkToFit="1"/>
    </xf>
    <xf numFmtId="0" fontId="22" fillId="22" borderId="1" xfId="0" applyFont="1" applyFill="1" applyBorder="1" applyAlignment="1">
      <alignment horizontal="center" vertical="center" wrapText="1" shrinkToFit="1"/>
    </xf>
    <xf numFmtId="0" fontId="22" fillId="23" borderId="1" xfId="0" applyFont="1" applyFill="1" applyBorder="1" applyAlignment="1">
      <alignment horizontal="center" vertical="center" wrapText="1" shrinkToFit="1"/>
    </xf>
    <xf numFmtId="0" fontId="22" fillId="14" borderId="1" xfId="0" applyFont="1" applyFill="1" applyBorder="1" applyAlignment="1">
      <alignment horizontal="center" vertical="center" wrapText="1" shrinkToFit="1"/>
    </xf>
    <xf numFmtId="0" fontId="22" fillId="17" borderId="1" xfId="0" applyFont="1" applyFill="1" applyBorder="1" applyAlignment="1">
      <alignment horizontal="center" vertical="center" wrapText="1" shrinkToFit="1"/>
    </xf>
    <xf numFmtId="0" fontId="15" fillId="21" borderId="48" xfId="0" applyFont="1" applyFill="1" applyBorder="1" applyAlignment="1">
      <alignment horizontal="left" vertical="center" wrapText="1" shrinkToFit="1"/>
    </xf>
    <xf numFmtId="0" fontId="15" fillId="21" borderId="36" xfId="0" applyFont="1" applyFill="1" applyBorder="1" applyAlignment="1">
      <alignment horizontal="left" vertical="center" wrapText="1" shrinkToFit="1"/>
    </xf>
    <xf numFmtId="0" fontId="2" fillId="23" borderId="1" xfId="0" applyFont="1" applyFill="1" applyBorder="1" applyAlignment="1">
      <alignment horizontal="center" vertical="center" wrapText="1" shrinkToFit="1"/>
    </xf>
    <xf numFmtId="0" fontId="2" fillId="23" borderId="39" xfId="0" applyFont="1" applyFill="1" applyBorder="1" applyAlignment="1">
      <alignment horizontal="center" vertical="center" wrapText="1" shrinkToFit="1"/>
    </xf>
    <xf numFmtId="0" fontId="2" fillId="19" borderId="1" xfId="0" applyFont="1" applyFill="1" applyBorder="1" applyAlignment="1">
      <alignment horizontal="center" vertical="center" wrapText="1" shrinkToFit="1"/>
    </xf>
    <xf numFmtId="0" fontId="2" fillId="19" borderId="39" xfId="0" applyFont="1" applyFill="1" applyBorder="1" applyAlignment="1">
      <alignment horizontal="center" vertical="center" wrapText="1" shrinkToFit="1"/>
    </xf>
    <xf numFmtId="0" fontId="2" fillId="2" borderId="49" xfId="0" applyFont="1" applyFill="1" applyBorder="1" applyAlignment="1">
      <alignment horizontal="center" vertical="center" wrapText="1" shrinkToFit="1"/>
    </xf>
    <xf numFmtId="0" fontId="2" fillId="2" borderId="47" xfId="0" applyFont="1" applyFill="1" applyBorder="1" applyAlignment="1">
      <alignment horizontal="center" vertical="center" wrapText="1" shrinkToFit="1"/>
    </xf>
    <xf numFmtId="0" fontId="15" fillId="13" borderId="49" xfId="0" applyFont="1" applyFill="1" applyBorder="1" applyAlignment="1">
      <alignment horizontal="center" vertical="center" wrapText="1" shrinkToFit="1"/>
    </xf>
    <xf numFmtId="0" fontId="15" fillId="13" borderId="47" xfId="0" applyFont="1" applyFill="1" applyBorder="1" applyAlignment="1">
      <alignment horizontal="center" vertical="center" wrapText="1" shrinkToFit="1"/>
    </xf>
    <xf numFmtId="0" fontId="15" fillId="21" borderId="49" xfId="0" applyFont="1" applyFill="1" applyBorder="1" applyAlignment="1">
      <alignment horizontal="center" vertical="center" wrapText="1" shrinkToFit="1"/>
    </xf>
    <xf numFmtId="0" fontId="15" fillId="21" borderId="47" xfId="0" applyFont="1" applyFill="1" applyBorder="1" applyAlignment="1">
      <alignment horizontal="center" vertical="center" wrapText="1" shrinkToFit="1"/>
    </xf>
    <xf numFmtId="10" fontId="2" fillId="19" borderId="30" xfId="0" applyNumberFormat="1" applyFont="1" applyFill="1" applyBorder="1" applyAlignment="1">
      <alignment horizontal="center" vertical="center" wrapText="1" shrinkToFit="1"/>
    </xf>
    <xf numFmtId="10" fontId="2" fillId="23" borderId="30" xfId="0" applyNumberFormat="1" applyFont="1" applyFill="1" applyBorder="1" applyAlignment="1">
      <alignment horizontal="center" vertical="center" wrapText="1" shrinkToFit="1"/>
    </xf>
    <xf numFmtId="10" fontId="2" fillId="23" borderId="40" xfId="0" applyNumberFormat="1" applyFont="1" applyFill="1" applyBorder="1" applyAlignment="1">
      <alignment horizontal="center" vertical="center" wrapText="1" shrinkToFit="1"/>
    </xf>
    <xf numFmtId="10" fontId="2" fillId="19" borderId="40" xfId="0" applyNumberFormat="1" applyFont="1" applyFill="1" applyBorder="1" applyAlignment="1">
      <alignment horizontal="center" vertical="center" wrapText="1" shrinkToFit="1"/>
    </xf>
    <xf numFmtId="164" fontId="2" fillId="24" borderId="1" xfId="0" applyNumberFormat="1" applyFont="1" applyFill="1" applyBorder="1" applyAlignment="1">
      <alignment horizontal="center" vertical="center" wrapText="1" shrinkToFit="1"/>
    </xf>
    <xf numFmtId="0" fontId="1" fillId="4" borderId="28" xfId="0" applyFont="1" applyFill="1" applyBorder="1" applyAlignment="1">
      <alignment horizontal="left" vertical="center" wrapText="1" shrinkToFit="1"/>
    </xf>
    <xf numFmtId="0" fontId="1" fillId="4" borderId="22" xfId="0" applyFont="1" applyFill="1" applyBorder="1" applyAlignment="1">
      <alignment horizontal="left" vertical="center" wrapText="1" shrinkToFit="1"/>
    </xf>
    <xf numFmtId="0" fontId="4" fillId="19" borderId="2" xfId="0" applyFont="1" applyFill="1" applyBorder="1" applyAlignment="1">
      <alignment horizontal="left" vertical="center" wrapText="1" shrinkToFit="1"/>
    </xf>
    <xf numFmtId="0" fontId="0" fillId="5" borderId="0" xfId="0" applyFill="1"/>
    <xf numFmtId="10" fontId="2" fillId="24" borderId="1" xfId="0" applyNumberFormat="1" applyFont="1" applyFill="1" applyBorder="1" applyAlignment="1">
      <alignment horizontal="center" vertical="center" wrapText="1" shrinkToFit="1"/>
    </xf>
    <xf numFmtId="0" fontId="2" fillId="26" borderId="2" xfId="0" applyFont="1" applyFill="1" applyBorder="1" applyAlignment="1">
      <alignment horizontal="left" vertical="center" wrapText="1" shrinkToFit="1"/>
    </xf>
    <xf numFmtId="0" fontId="2" fillId="26" borderId="0" xfId="0" applyFont="1" applyFill="1" applyBorder="1" applyAlignment="1">
      <alignment horizontal="left" vertical="center" wrapText="1" shrinkToFit="1"/>
    </xf>
    <xf numFmtId="0" fontId="2" fillId="26" borderId="29" xfId="0" applyFont="1" applyFill="1" applyBorder="1" applyAlignment="1">
      <alignment horizontal="left" vertical="center" wrapText="1" shrinkToFit="1"/>
    </xf>
    <xf numFmtId="0" fontId="2" fillId="26" borderId="43" xfId="0" applyFont="1" applyFill="1" applyBorder="1" applyAlignment="1">
      <alignment horizontal="left" vertical="center" wrapText="1" shrinkToFit="1"/>
    </xf>
    <xf numFmtId="0" fontId="2" fillId="26" borderId="26" xfId="0" applyFont="1" applyFill="1" applyBorder="1" applyAlignment="1">
      <alignment horizontal="left" vertical="center" wrapText="1" shrinkToFit="1"/>
    </xf>
    <xf numFmtId="0" fontId="2" fillId="26" borderId="44" xfId="0" applyFont="1" applyFill="1" applyBorder="1" applyAlignment="1">
      <alignment horizontal="left" vertical="center" wrapText="1" shrinkToFit="1"/>
    </xf>
    <xf numFmtId="0" fontId="4" fillId="26" borderId="2" xfId="0" applyFont="1" applyFill="1" applyBorder="1" applyAlignment="1">
      <alignment horizontal="left" vertical="center" wrapText="1" shrinkToFit="1"/>
    </xf>
    <xf numFmtId="0" fontId="2" fillId="12" borderId="3" xfId="0" applyFont="1" applyFill="1" applyBorder="1" applyAlignment="1">
      <alignment horizontal="center" vertical="center" wrapText="1"/>
    </xf>
    <xf numFmtId="44" fontId="17" fillId="0" borderId="15" xfId="0" applyNumberFormat="1" applyFont="1" applyFill="1" applyBorder="1" applyAlignment="1" applyProtection="1">
      <alignment horizontal="center"/>
      <protection locked="0"/>
    </xf>
    <xf numFmtId="0" fontId="28" fillId="2" borderId="1" xfId="0" applyFont="1" applyFill="1" applyBorder="1" applyAlignment="1">
      <alignment horizontal="center" vertical="center" wrapText="1" shrinkToFit="1"/>
    </xf>
    <xf numFmtId="44" fontId="3" fillId="11" borderId="3" xfId="0" applyNumberFormat="1" applyFont="1" applyFill="1" applyBorder="1" applyAlignment="1">
      <alignment horizontal="center" vertical="center"/>
    </xf>
    <xf numFmtId="44" fontId="36" fillId="15" borderId="3" xfId="0" applyNumberFormat="1" applyFont="1" applyFill="1" applyBorder="1" applyAlignment="1" applyProtection="1">
      <alignment horizontal="center" vertical="center" wrapText="1" shrinkToFit="1"/>
    </xf>
    <xf numFmtId="44" fontId="37" fillId="0" borderId="15" xfId="0" applyNumberFormat="1" applyFont="1" applyFill="1" applyBorder="1" applyProtection="1">
      <protection locked="0"/>
    </xf>
    <xf numFmtId="44" fontId="38" fillId="0" borderId="15" xfId="0" applyNumberFormat="1" applyFont="1" applyFill="1" applyBorder="1" applyProtection="1">
      <protection locked="0"/>
    </xf>
    <xf numFmtId="0" fontId="2" fillId="19" borderId="17" xfId="0" applyFont="1" applyFill="1" applyBorder="1" applyAlignment="1">
      <alignment horizontal="center" vertical="center" wrapText="1" shrinkToFit="1"/>
    </xf>
    <xf numFmtId="0" fontId="22" fillId="24" borderId="36" xfId="0" applyFont="1" applyFill="1" applyBorder="1" applyAlignment="1" applyProtection="1">
      <alignment vertical="center" wrapText="1" shrinkToFit="1"/>
    </xf>
    <xf numFmtId="0" fontId="2" fillId="24" borderId="36" xfId="0" applyFont="1" applyFill="1" applyBorder="1" applyAlignment="1" applyProtection="1">
      <alignment vertical="center" wrapText="1" shrinkToFit="1"/>
    </xf>
    <xf numFmtId="0" fontId="1" fillId="24" borderId="37" xfId="0" applyFont="1" applyFill="1" applyBorder="1" applyAlignment="1" applyProtection="1">
      <alignment vertical="center" wrapText="1" shrinkToFit="1"/>
    </xf>
    <xf numFmtId="10" fontId="3" fillId="24" borderId="30" xfId="3" applyNumberFormat="1" applyFont="1" applyFill="1" applyBorder="1" applyAlignment="1" applyProtection="1">
      <alignment horizontal="center" vertical="center" wrapText="1" shrinkToFit="1"/>
    </xf>
    <xf numFmtId="44" fontId="3" fillId="24" borderId="30" xfId="0" applyNumberFormat="1" applyFont="1" applyFill="1" applyBorder="1" applyAlignment="1" applyProtection="1">
      <alignment horizontal="center" vertical="center" wrapText="1" shrinkToFit="1"/>
    </xf>
    <xf numFmtId="0" fontId="1" fillId="4" borderId="26" xfId="0" applyFont="1" applyFill="1" applyBorder="1" applyAlignment="1">
      <alignment horizontal="center" vertical="center" wrapText="1" shrinkToFit="1"/>
    </xf>
    <xf numFmtId="0" fontId="15" fillId="18" borderId="14" xfId="0" applyFont="1" applyFill="1" applyBorder="1" applyAlignment="1">
      <alignment horizontal="center" vertical="center" wrapText="1" shrinkToFit="1"/>
    </xf>
    <xf numFmtId="0" fontId="2" fillId="2" borderId="14" xfId="0" applyFont="1" applyFill="1" applyBorder="1" applyAlignment="1">
      <alignment horizontal="center" vertical="center" wrapText="1" shrinkToFit="1"/>
    </xf>
    <xf numFmtId="0" fontId="15" fillId="13" borderId="14" xfId="0" applyFont="1" applyFill="1" applyBorder="1" applyAlignment="1">
      <alignment horizontal="center" vertical="center" wrapText="1" shrinkToFit="1"/>
    </xf>
    <xf numFmtId="0" fontId="15" fillId="21" borderId="14" xfId="0" applyFont="1" applyFill="1" applyBorder="1" applyAlignment="1">
      <alignment horizontal="center" vertical="center" wrapText="1" shrinkToFit="1"/>
    </xf>
    <xf numFmtId="165" fontId="2" fillId="6" borderId="1" xfId="3" applyNumberFormat="1" applyFont="1" applyFill="1" applyBorder="1" applyAlignment="1">
      <alignment horizontal="center"/>
    </xf>
    <xf numFmtId="0" fontId="2" fillId="6" borderId="33" xfId="0" applyFont="1" applyFill="1" applyBorder="1" applyProtection="1"/>
    <xf numFmtId="10" fontId="2" fillId="6" borderId="1" xfId="0" applyNumberFormat="1" applyFont="1" applyFill="1" applyBorder="1"/>
    <xf numFmtId="10" fontId="2" fillId="6" borderId="9" xfId="3" applyNumberFormat="1" applyFont="1" applyFill="1" applyBorder="1"/>
    <xf numFmtId="10" fontId="2" fillId="6" borderId="19" xfId="3" applyNumberFormat="1" applyFont="1" applyFill="1" applyBorder="1" applyAlignment="1">
      <alignment horizontal="center" vertical="center" wrapText="1" shrinkToFit="1"/>
    </xf>
    <xf numFmtId="10" fontId="2" fillId="6" borderId="20" xfId="3" applyNumberFormat="1" applyFont="1" applyFill="1" applyBorder="1" applyAlignment="1">
      <alignment horizontal="center" vertical="center" wrapText="1" shrinkToFit="1"/>
    </xf>
    <xf numFmtId="10" fontId="2" fillId="6" borderId="13" xfId="0" applyNumberFormat="1" applyFont="1" applyFill="1" applyBorder="1"/>
    <xf numFmtId="44" fontId="39" fillId="7" borderId="10" xfId="0" applyNumberFormat="1" applyFont="1" applyFill="1" applyBorder="1" applyAlignment="1">
      <alignment horizontal="center" vertical="center" wrapText="1"/>
    </xf>
    <xf numFmtId="0" fontId="1" fillId="24" borderId="33" xfId="0" applyFont="1" applyFill="1" applyBorder="1" applyAlignment="1" applyProtection="1">
      <alignment vertical="center" wrapText="1" shrinkToFit="1"/>
    </xf>
    <xf numFmtId="164" fontId="22" fillId="24" borderId="53" xfId="1" applyFont="1" applyFill="1" applyBorder="1" applyAlignment="1" applyProtection="1">
      <alignment horizontal="center" vertical="center" wrapText="1" shrinkToFit="1"/>
    </xf>
    <xf numFmtId="164" fontId="22" fillId="17" borderId="53" xfId="1" applyFont="1" applyFill="1" applyBorder="1" applyAlignment="1" applyProtection="1">
      <alignment horizontal="center" vertical="center" wrapText="1" shrinkToFit="1"/>
    </xf>
    <xf numFmtId="44" fontId="4" fillId="24" borderId="30" xfId="2" applyFont="1" applyFill="1" applyBorder="1" applyAlignment="1" applyProtection="1">
      <alignment horizontal="center" vertical="center" wrapText="1" shrinkToFit="1"/>
    </xf>
    <xf numFmtId="44" fontId="4" fillId="24" borderId="40" xfId="2" applyFont="1" applyFill="1" applyBorder="1" applyAlignment="1" applyProtection="1">
      <alignment horizontal="center" vertical="center" wrapText="1" shrinkToFit="1"/>
    </xf>
    <xf numFmtId="0" fontId="26" fillId="5" borderId="0" xfId="0" applyFont="1" applyFill="1" applyAlignment="1">
      <alignment horizontal="center" vertical="center" wrapText="1" shrinkToFit="1"/>
    </xf>
    <xf numFmtId="0" fontId="33" fillId="5" borderId="0" xfId="0" applyFont="1" applyFill="1" applyAlignment="1">
      <alignment wrapText="1"/>
    </xf>
    <xf numFmtId="166" fontId="34" fillId="5" borderId="8" xfId="0" applyNumberFormat="1" applyFont="1" applyFill="1" applyBorder="1" applyAlignment="1" applyProtection="1">
      <alignment horizontal="center" vertical="center" wrapText="1" shrinkToFit="1"/>
      <protection locked="0"/>
    </xf>
    <xf numFmtId="0" fontId="44" fillId="0" borderId="0" xfId="0" applyFont="1" applyAlignment="1">
      <alignment vertical="top"/>
    </xf>
    <xf numFmtId="0" fontId="2" fillId="17" borderId="33" xfId="0" applyFont="1" applyFill="1" applyBorder="1" applyAlignment="1">
      <alignment horizontal="left" vertical="center" wrapText="1" shrinkToFit="1"/>
    </xf>
    <xf numFmtId="0" fontId="2" fillId="17" borderId="8" xfId="0" applyFont="1" applyFill="1" applyBorder="1" applyAlignment="1">
      <alignment horizontal="left" vertical="center" wrapText="1" shrinkToFit="1"/>
    </xf>
    <xf numFmtId="0" fontId="28" fillId="17" borderId="8" xfId="0" applyFont="1" applyFill="1" applyBorder="1" applyAlignment="1">
      <alignment horizontal="center" vertical="center" wrapText="1" shrinkToFit="1"/>
    </xf>
    <xf numFmtId="0" fontId="2" fillId="17" borderId="37" xfId="0" applyFont="1" applyFill="1" applyBorder="1" applyAlignment="1">
      <alignment horizontal="left" vertical="center" wrapText="1" shrinkToFit="1"/>
    </xf>
    <xf numFmtId="0" fontId="2" fillId="17" borderId="38" xfId="0" applyFont="1" applyFill="1" applyBorder="1" applyAlignment="1">
      <alignment horizontal="left" vertical="center" wrapText="1" shrinkToFit="1"/>
    </xf>
    <xf numFmtId="0" fontId="2" fillId="17" borderId="1" xfId="0" applyFont="1" applyFill="1" applyBorder="1" applyAlignment="1">
      <alignment horizontal="center" vertical="center" wrapText="1" shrinkToFit="1"/>
    </xf>
    <xf numFmtId="10" fontId="2" fillId="17" borderId="30" xfId="0" applyNumberFormat="1" applyFont="1" applyFill="1" applyBorder="1" applyAlignment="1">
      <alignment horizontal="center" vertical="center" wrapText="1" shrinkToFit="1"/>
    </xf>
    <xf numFmtId="0" fontId="2" fillId="17" borderId="39" xfId="0" applyFont="1" applyFill="1" applyBorder="1" applyAlignment="1">
      <alignment horizontal="center" vertical="center" wrapText="1" shrinkToFit="1"/>
    </xf>
    <xf numFmtId="10" fontId="2" fillId="17" borderId="40" xfId="0" applyNumberFormat="1" applyFont="1" applyFill="1" applyBorder="1" applyAlignment="1">
      <alignment horizontal="center" vertical="center" wrapText="1" shrinkToFit="1"/>
    </xf>
    <xf numFmtId="0" fontId="2" fillId="20" borderId="2" xfId="0" applyFont="1" applyFill="1" applyBorder="1" applyAlignment="1">
      <alignment horizontal="left" vertical="center" wrapText="1" shrinkToFit="1"/>
    </xf>
    <xf numFmtId="0" fontId="2" fillId="20" borderId="0" xfId="0" applyFont="1" applyFill="1" applyBorder="1" applyAlignment="1">
      <alignment horizontal="left" vertical="center" wrapText="1" shrinkToFit="1"/>
    </xf>
    <xf numFmtId="0" fontId="2" fillId="20" borderId="29" xfId="0" applyFont="1" applyFill="1" applyBorder="1" applyAlignment="1">
      <alignment horizontal="left" vertical="center" wrapText="1" shrinkToFit="1"/>
    </xf>
    <xf numFmtId="0" fontId="4" fillId="20" borderId="2" xfId="0" applyFont="1" applyFill="1" applyBorder="1" applyAlignment="1">
      <alignment horizontal="left" vertical="center" wrapText="1" shrinkToFit="1"/>
    </xf>
    <xf numFmtId="0" fontId="2" fillId="20" borderId="43" xfId="0" applyFont="1" applyFill="1" applyBorder="1" applyAlignment="1">
      <alignment horizontal="left" vertical="center" wrapText="1" shrinkToFit="1"/>
    </xf>
    <xf numFmtId="0" fontId="2" fillId="20" borderId="26" xfId="0" applyFont="1" applyFill="1" applyBorder="1" applyAlignment="1">
      <alignment horizontal="left" vertical="center" wrapText="1" shrinkToFit="1"/>
    </xf>
    <xf numFmtId="0" fontId="2" fillId="20" borderId="44" xfId="0" applyFont="1" applyFill="1" applyBorder="1" applyAlignment="1">
      <alignment horizontal="left" vertical="center" wrapText="1" shrinkToFit="1"/>
    </xf>
    <xf numFmtId="44" fontId="39" fillId="7" borderId="18" xfId="0" applyNumberFormat="1" applyFont="1" applyFill="1" applyBorder="1" applyAlignment="1">
      <alignment horizontal="center" vertical="center" wrapText="1"/>
    </xf>
    <xf numFmtId="44" fontId="15" fillId="7" borderId="10" xfId="0" applyNumberFormat="1" applyFont="1" applyFill="1" applyBorder="1" applyAlignment="1">
      <alignment horizontal="center" vertical="center"/>
    </xf>
    <xf numFmtId="0" fontId="0" fillId="5" borderId="28" xfId="0" applyFill="1" applyBorder="1"/>
    <xf numFmtId="0" fontId="0" fillId="5" borderId="0" xfId="0" applyFill="1" applyAlignment="1"/>
    <xf numFmtId="44" fontId="4" fillId="17" borderId="40" xfId="2" applyFont="1" applyFill="1" applyBorder="1" applyAlignment="1" applyProtection="1">
      <alignment horizontal="center" vertical="center" wrapText="1" shrinkToFit="1"/>
    </xf>
    <xf numFmtId="0" fontId="22" fillId="17" borderId="36" xfId="0" applyFont="1" applyFill="1" applyBorder="1" applyAlignment="1" applyProtection="1">
      <alignment vertical="center" wrapText="1" shrinkToFit="1"/>
    </xf>
    <xf numFmtId="0" fontId="1" fillId="17" borderId="36" xfId="0" applyFont="1" applyFill="1" applyBorder="1" applyAlignment="1" applyProtection="1">
      <alignment vertical="center" wrapText="1" shrinkToFit="1"/>
    </xf>
    <xf numFmtId="0" fontId="1" fillId="17" borderId="33" xfId="0" applyFont="1" applyFill="1" applyBorder="1" applyAlignment="1" applyProtection="1">
      <alignment horizontal="left" vertical="center" wrapText="1" shrinkToFit="1"/>
    </xf>
    <xf numFmtId="0" fontId="1" fillId="17" borderId="33" xfId="0" applyFont="1" applyFill="1" applyBorder="1" applyAlignment="1" applyProtection="1">
      <alignment vertical="center" wrapText="1" shrinkToFit="1"/>
    </xf>
    <xf numFmtId="0" fontId="1" fillId="17" borderId="37" xfId="0" applyFont="1" applyFill="1" applyBorder="1" applyAlignment="1" applyProtection="1">
      <alignment vertical="center" wrapText="1" shrinkToFit="1"/>
    </xf>
    <xf numFmtId="0" fontId="44" fillId="5" borderId="0" xfId="0" applyFont="1" applyFill="1" applyAlignment="1">
      <alignment horizontal="left" vertical="top" wrapText="1" shrinkToFit="1"/>
    </xf>
    <xf numFmtId="0" fontId="1" fillId="0" borderId="0" xfId="0" applyFont="1" applyAlignment="1">
      <alignment horizontal="left" vertical="top" wrapText="1"/>
    </xf>
    <xf numFmtId="0" fontId="44" fillId="0" borderId="0" xfId="0" applyFont="1" applyAlignment="1">
      <alignment vertical="center"/>
    </xf>
    <xf numFmtId="0" fontId="1" fillId="5" borderId="0" xfId="0" applyFont="1" applyFill="1"/>
    <xf numFmtId="0" fontId="15" fillId="21" borderId="46" xfId="0" applyFont="1" applyFill="1" applyBorder="1" applyAlignment="1">
      <alignment horizontal="center" vertical="center" wrapText="1" shrinkToFit="1"/>
    </xf>
    <xf numFmtId="0" fontId="15" fillId="21" borderId="24" xfId="0" applyFont="1" applyFill="1" applyBorder="1" applyAlignment="1">
      <alignment horizontal="center" vertical="center" wrapText="1" shrinkToFit="1"/>
    </xf>
    <xf numFmtId="0" fontId="25" fillId="17" borderId="33" xfId="0" applyFont="1" applyFill="1" applyBorder="1" applyAlignment="1">
      <alignment horizontal="left" vertical="center" wrapText="1" shrinkToFit="1"/>
    </xf>
    <xf numFmtId="0" fontId="17" fillId="17" borderId="33" xfId="0" applyFont="1" applyFill="1" applyBorder="1" applyAlignment="1">
      <alignment horizontal="center" vertical="center" wrapText="1" shrinkToFit="1"/>
    </xf>
    <xf numFmtId="0" fontId="28" fillId="2" borderId="8" xfId="0" applyFont="1" applyFill="1" applyBorder="1" applyAlignment="1">
      <alignment horizontal="center" vertical="center" wrapText="1" shrinkToFit="1"/>
    </xf>
    <xf numFmtId="0" fontId="1" fillId="5" borderId="0" xfId="0" applyFont="1" applyFill="1" applyAlignment="1">
      <alignment horizontal="center" vertical="top" wrapText="1"/>
    </xf>
    <xf numFmtId="0" fontId="0" fillId="0" borderId="0" xfId="0" applyAlignment="1"/>
    <xf numFmtId="0" fontId="44" fillId="5" borderId="0" xfId="0" applyFont="1" applyFill="1" applyAlignment="1">
      <alignment horizontal="left" vertical="center" wrapText="1" shrinkToFit="1"/>
    </xf>
    <xf numFmtId="0" fontId="1" fillId="0" borderId="0" xfId="0" applyFont="1" applyAlignment="1">
      <alignment horizontal="left" vertical="center" wrapText="1"/>
    </xf>
    <xf numFmtId="0" fontId="1" fillId="5" borderId="0" xfId="0" applyFont="1" applyFill="1" applyBorder="1" applyAlignment="1">
      <alignment horizontal="left"/>
    </xf>
    <xf numFmtId="0" fontId="26" fillId="5" borderId="0" xfId="0" applyFont="1" applyFill="1" applyAlignment="1">
      <alignment horizontal="left" vertical="center" wrapText="1" shrinkToFit="1"/>
    </xf>
    <xf numFmtId="0" fontId="0" fillId="0" borderId="0" xfId="0" applyAlignment="1">
      <alignment horizontal="left" wrapText="1"/>
    </xf>
    <xf numFmtId="0" fontId="4" fillId="5" borderId="0" xfId="0" applyFont="1" applyFill="1" applyAlignment="1">
      <alignment horizontal="left" vertical="center" wrapText="1" shrinkToFit="1"/>
    </xf>
    <xf numFmtId="0" fontId="13" fillId="5" borderId="0" xfId="0" applyFont="1" applyFill="1" applyAlignment="1">
      <alignment horizontal="left" wrapText="1"/>
    </xf>
    <xf numFmtId="0" fontId="50" fillId="8" borderId="0" xfId="0" applyFont="1" applyFill="1" applyBorder="1" applyAlignment="1">
      <alignment horizontal="left" vertical="center" wrapText="1" shrinkToFit="1"/>
    </xf>
    <xf numFmtId="0" fontId="51" fillId="0" borderId="0" xfId="0" applyFont="1" applyBorder="1" applyAlignment="1">
      <alignment horizontal="left" vertical="center" wrapText="1" shrinkToFit="1"/>
    </xf>
    <xf numFmtId="0" fontId="52" fillId="5" borderId="0" xfId="5" applyFill="1" applyAlignment="1">
      <alignment horizontal="right" wrapText="1"/>
    </xf>
    <xf numFmtId="0" fontId="44" fillId="5" borderId="0" xfId="0" applyFont="1" applyFill="1" applyAlignment="1">
      <alignment vertical="center" wrapText="1"/>
    </xf>
    <xf numFmtId="0" fontId="44" fillId="0" borderId="0" xfId="0" applyFont="1" applyAlignment="1">
      <alignment vertical="center"/>
    </xf>
    <xf numFmtId="0" fontId="1" fillId="5" borderId="0" xfId="0" applyFont="1" applyFill="1" applyAlignment="1">
      <alignment horizontal="right" vertical="top" wrapText="1"/>
    </xf>
    <xf numFmtId="42" fontId="2" fillId="23" borderId="37" xfId="0" applyNumberFormat="1" applyFont="1" applyFill="1" applyBorder="1" applyAlignment="1">
      <alignment horizontal="center" vertical="center" wrapText="1" shrinkToFit="1"/>
    </xf>
    <xf numFmtId="42" fontId="0" fillId="23" borderId="39" xfId="0" applyNumberFormat="1" applyFill="1" applyBorder="1" applyAlignment="1">
      <alignment horizontal="center" vertical="center" wrapText="1" shrinkToFit="1"/>
    </xf>
    <xf numFmtId="42" fontId="2" fillId="25" borderId="39" xfId="0" applyNumberFormat="1" applyFont="1" applyFill="1" applyBorder="1" applyAlignment="1">
      <alignment horizontal="center" vertical="center" wrapText="1" shrinkToFit="1"/>
    </xf>
    <xf numFmtId="42" fontId="0" fillId="25" borderId="39" xfId="0" applyNumberFormat="1" applyFill="1" applyBorder="1" applyAlignment="1">
      <alignment horizontal="center" vertical="center" wrapText="1" shrinkToFit="1"/>
    </xf>
    <xf numFmtId="42" fontId="2" fillId="28" borderId="39" xfId="0" applyNumberFormat="1" applyFont="1" applyFill="1" applyBorder="1" applyAlignment="1">
      <alignment horizontal="center" vertical="center" wrapText="1" shrinkToFit="1"/>
    </xf>
    <xf numFmtId="42" fontId="0" fillId="28" borderId="40" xfId="0" applyNumberFormat="1" applyFill="1" applyBorder="1" applyAlignment="1">
      <alignment horizontal="center" vertical="center" wrapText="1" shrinkToFit="1"/>
    </xf>
    <xf numFmtId="0" fontId="1" fillId="5" borderId="28" xfId="0" applyFont="1" applyFill="1" applyBorder="1" applyAlignment="1">
      <alignment horizontal="right"/>
    </xf>
    <xf numFmtId="0" fontId="1" fillId="26" borderId="0" xfId="0" applyFont="1" applyFill="1" applyBorder="1" applyAlignment="1">
      <alignment horizontal="left" vertical="center" wrapText="1" shrinkToFit="1"/>
    </xf>
    <xf numFmtId="0" fontId="1" fillId="26" borderId="0" xfId="0" applyFont="1" applyFill="1" applyAlignment="1">
      <alignment horizontal="left" vertical="center" wrapText="1" shrinkToFit="1"/>
    </xf>
    <xf numFmtId="0" fontId="1" fillId="26" borderId="29" xfId="0" applyFont="1" applyFill="1" applyBorder="1" applyAlignment="1">
      <alignment horizontal="left" vertical="center" wrapText="1" shrinkToFit="1"/>
    </xf>
    <xf numFmtId="0" fontId="2" fillId="2" borderId="50" xfId="0" applyFont="1" applyFill="1" applyBorder="1" applyAlignment="1">
      <alignment horizontal="center" vertical="center" wrapText="1" shrinkToFit="1"/>
    </xf>
    <xf numFmtId="0" fontId="0" fillId="2" borderId="51" xfId="0" applyFill="1" applyBorder="1" applyAlignment="1">
      <alignment horizontal="center" vertical="center" wrapText="1" shrinkToFit="1"/>
    </xf>
    <xf numFmtId="0" fontId="15" fillId="9" borderId="51" xfId="0" applyFont="1" applyFill="1" applyBorder="1" applyAlignment="1">
      <alignment horizontal="center" vertical="center" wrapText="1" shrinkToFit="1"/>
    </xf>
    <xf numFmtId="0" fontId="23" fillId="9" borderId="51" xfId="0" applyFont="1" applyFill="1" applyBorder="1" applyAlignment="1">
      <alignment horizontal="center" vertical="center" wrapText="1" shrinkToFit="1"/>
    </xf>
    <xf numFmtId="0" fontId="15" fillId="27" borderId="51" xfId="0" applyFont="1" applyFill="1" applyBorder="1" applyAlignment="1">
      <alignment horizontal="center" vertical="center" wrapText="1" shrinkToFit="1"/>
    </xf>
    <xf numFmtId="0" fontId="23" fillId="27" borderId="52" xfId="0" applyFont="1" applyFill="1" applyBorder="1" applyAlignment="1">
      <alignment horizontal="center" vertical="center" wrapText="1" shrinkToFit="1"/>
    </xf>
    <xf numFmtId="0" fontId="2" fillId="23" borderId="48" xfId="0" applyFont="1" applyFill="1" applyBorder="1" applyAlignment="1">
      <alignment horizontal="center" vertical="center" wrapText="1" shrinkToFit="1"/>
    </xf>
    <xf numFmtId="0" fontId="0" fillId="23" borderId="49" xfId="0" applyFill="1" applyBorder="1" applyAlignment="1">
      <alignment horizontal="center" vertical="center" wrapText="1" shrinkToFit="1"/>
    </xf>
    <xf numFmtId="0" fontId="2" fillId="25" borderId="49" xfId="0" applyFont="1" applyFill="1" applyBorder="1" applyAlignment="1">
      <alignment horizontal="center" vertical="center" wrapText="1" shrinkToFit="1"/>
    </xf>
    <xf numFmtId="0" fontId="0" fillId="25" borderId="49" xfId="0" applyFill="1" applyBorder="1" applyAlignment="1">
      <alignment horizontal="center" vertical="center" wrapText="1" shrinkToFit="1"/>
    </xf>
    <xf numFmtId="0" fontId="2" fillId="28" borderId="49" xfId="0" applyFont="1" applyFill="1" applyBorder="1" applyAlignment="1">
      <alignment horizontal="center" vertical="center" wrapText="1" shrinkToFit="1"/>
    </xf>
    <xf numFmtId="0" fontId="0" fillId="28" borderId="47" xfId="0" applyFill="1" applyBorder="1" applyAlignment="1">
      <alignment horizontal="center" vertical="center" wrapText="1" shrinkToFit="1"/>
    </xf>
    <xf numFmtId="0" fontId="2" fillId="2" borderId="45" xfId="0" applyFont="1" applyFill="1" applyBorder="1" applyAlignment="1">
      <alignment horizontal="center" vertical="center" wrapText="1" shrinkToFit="1"/>
    </xf>
    <xf numFmtId="0" fontId="1" fillId="2" borderId="41" xfId="0" applyFont="1" applyFill="1" applyBorder="1" applyAlignment="1">
      <alignment horizontal="center" vertical="center" wrapText="1" shrinkToFit="1"/>
    </xf>
    <xf numFmtId="0" fontId="2" fillId="2" borderId="8" xfId="0" applyFont="1" applyFill="1" applyBorder="1" applyAlignment="1">
      <alignment horizontal="center" vertical="center" wrapText="1" shrinkToFit="1"/>
    </xf>
    <xf numFmtId="0" fontId="0" fillId="0" borderId="41" xfId="0" applyBorder="1" applyAlignment="1">
      <alignment horizontal="center" vertical="center" wrapText="1" shrinkToFit="1"/>
    </xf>
    <xf numFmtId="0" fontId="15" fillId="13" borderId="45" xfId="0" applyFont="1" applyFill="1" applyBorder="1" applyAlignment="1">
      <alignment horizontal="center" vertical="center" wrapText="1" shrinkToFit="1"/>
    </xf>
    <xf numFmtId="0" fontId="15" fillId="21" borderId="45" xfId="0" applyFont="1" applyFill="1" applyBorder="1" applyAlignment="1">
      <alignment horizontal="center" vertical="center" wrapText="1" shrinkToFit="1"/>
    </xf>
    <xf numFmtId="0" fontId="2" fillId="2" borderId="26" xfId="0" applyFont="1" applyFill="1" applyBorder="1" applyAlignment="1">
      <alignment horizontal="center" vertical="center" wrapText="1" shrinkToFit="1"/>
    </xf>
    <xf numFmtId="0" fontId="0" fillId="2" borderId="44" xfId="0" applyFill="1" applyBorder="1" applyAlignment="1">
      <alignment horizontal="center" vertical="center" wrapText="1" shrinkToFit="1"/>
    </xf>
    <xf numFmtId="0" fontId="31" fillId="8" borderId="4" xfId="0" applyFont="1" applyFill="1" applyBorder="1" applyAlignment="1">
      <alignment horizontal="center" vertical="center" wrapText="1" shrinkToFit="1"/>
    </xf>
    <xf numFmtId="0" fontId="31" fillId="8" borderId="25" xfId="0" applyFont="1" applyFill="1" applyBorder="1" applyAlignment="1">
      <alignment horizontal="center" vertical="center" wrapText="1" shrinkToFit="1"/>
    </xf>
    <xf numFmtId="0" fontId="31" fillId="8" borderId="15" xfId="0" applyFont="1" applyFill="1" applyBorder="1" applyAlignment="1">
      <alignment horizontal="center" vertical="center" wrapText="1" shrinkToFit="1"/>
    </xf>
    <xf numFmtId="0" fontId="56" fillId="17" borderId="4" xfId="0" applyFont="1" applyFill="1" applyBorder="1" applyAlignment="1">
      <alignment horizontal="left" vertical="center" wrapText="1" shrinkToFit="1"/>
    </xf>
    <xf numFmtId="0" fontId="56" fillId="17" borderId="25" xfId="0" applyFont="1" applyFill="1" applyBorder="1" applyAlignment="1">
      <alignment horizontal="left" vertical="center" wrapText="1" shrinkToFit="1"/>
    </xf>
    <xf numFmtId="0" fontId="56" fillId="17" borderId="15" xfId="0" applyFont="1" applyFill="1" applyBorder="1" applyAlignment="1">
      <alignment horizontal="left" vertical="center" wrapText="1" shrinkToFit="1"/>
    </xf>
    <xf numFmtId="0" fontId="1" fillId="4" borderId="43" xfId="0" applyFont="1" applyFill="1" applyBorder="1" applyAlignment="1">
      <alignment horizontal="right" vertical="center" wrapText="1" shrinkToFit="1"/>
    </xf>
    <xf numFmtId="0" fontId="1" fillId="4" borderId="26" xfId="0" applyFont="1" applyFill="1" applyBorder="1" applyAlignment="1">
      <alignment horizontal="right" vertical="center" wrapText="1" shrinkToFit="1"/>
    </xf>
    <xf numFmtId="0" fontId="1" fillId="4" borderId="26" xfId="0" applyFont="1" applyFill="1" applyBorder="1" applyAlignment="1">
      <alignment horizontal="center" vertical="center" wrapText="1" shrinkToFit="1"/>
    </xf>
    <xf numFmtId="0" fontId="55" fillId="4" borderId="27" xfId="0" applyFont="1" applyFill="1" applyBorder="1" applyAlignment="1">
      <alignment horizontal="left" vertical="center" wrapText="1" shrinkToFit="1"/>
    </xf>
    <xf numFmtId="0" fontId="55" fillId="4" borderId="28" xfId="0" applyFont="1" applyFill="1" applyBorder="1" applyAlignment="1">
      <alignment horizontal="left" vertical="center" wrapText="1" shrinkToFit="1"/>
    </xf>
    <xf numFmtId="0" fontId="53" fillId="4" borderId="26" xfId="0" applyFont="1" applyFill="1" applyBorder="1" applyAlignment="1">
      <alignment horizontal="center" vertical="center" wrapText="1" shrinkToFit="1"/>
    </xf>
    <xf numFmtId="0" fontId="53" fillId="4" borderId="44" xfId="0" applyFont="1" applyFill="1" applyBorder="1" applyAlignment="1">
      <alignment horizontal="center" vertical="center" wrapText="1" shrinkToFit="1"/>
    </xf>
    <xf numFmtId="0" fontId="1" fillId="19" borderId="0" xfId="0" applyFont="1" applyFill="1" applyBorder="1" applyAlignment="1">
      <alignment horizontal="left" vertical="center" wrapText="1" shrinkToFit="1"/>
    </xf>
    <xf numFmtId="0" fontId="1" fillId="0" borderId="0" xfId="0" applyFont="1" applyBorder="1" applyAlignment="1">
      <alignment horizontal="left" vertical="center" wrapText="1" shrinkToFit="1"/>
    </xf>
    <xf numFmtId="0" fontId="1" fillId="0" borderId="29" xfId="0" applyFont="1" applyBorder="1" applyAlignment="1">
      <alignment horizontal="left" vertical="center" wrapText="1" shrinkToFit="1"/>
    </xf>
    <xf numFmtId="0" fontId="15" fillId="13" borderId="8" xfId="0" applyFont="1" applyFill="1" applyBorder="1" applyAlignment="1">
      <alignment horizontal="center" vertical="center" wrapText="1" shrinkToFit="1"/>
    </xf>
    <xf numFmtId="0" fontId="23" fillId="13" borderId="23" xfId="0" applyFont="1" applyFill="1" applyBorder="1" applyAlignment="1">
      <alignment horizontal="center" vertical="center" wrapText="1" shrinkToFit="1"/>
    </xf>
    <xf numFmtId="164" fontId="34" fillId="5" borderId="8" xfId="0" applyNumberFormat="1" applyFont="1" applyFill="1" applyBorder="1" applyAlignment="1" applyProtection="1">
      <alignment horizontal="center" vertical="center" wrapText="1" shrinkToFit="1"/>
      <protection locked="0"/>
    </xf>
    <xf numFmtId="164" fontId="34" fillId="5" borderId="23" xfId="0" applyNumberFormat="1" applyFont="1" applyFill="1" applyBorder="1" applyAlignment="1" applyProtection="1">
      <alignment horizontal="center" vertical="center" wrapText="1" shrinkToFit="1"/>
      <protection locked="0"/>
    </xf>
    <xf numFmtId="10" fontId="17" fillId="0" borderId="8" xfId="0" applyNumberFormat="1" applyFont="1" applyFill="1" applyBorder="1" applyAlignment="1" applyProtection="1">
      <alignment horizontal="center" vertical="center" wrapText="1" shrinkToFit="1"/>
      <protection locked="0"/>
    </xf>
    <xf numFmtId="10" fontId="35" fillId="0" borderId="10" xfId="0" applyNumberFormat="1" applyFont="1" applyBorder="1" applyAlignment="1" applyProtection="1">
      <alignment horizontal="center" vertical="center" wrapText="1" shrinkToFit="1"/>
      <protection locked="0"/>
    </xf>
    <xf numFmtId="10" fontId="35" fillId="0" borderId="23" xfId="0" applyNumberFormat="1" applyFont="1" applyBorder="1" applyAlignment="1" applyProtection="1">
      <alignment horizontal="center" vertical="center" wrapText="1" shrinkToFit="1"/>
      <protection locked="0"/>
    </xf>
    <xf numFmtId="0" fontId="29" fillId="19" borderId="19" xfId="0" applyFont="1" applyFill="1" applyBorder="1" applyAlignment="1">
      <alignment horizontal="left" vertical="center" wrapText="1" shrinkToFit="1"/>
    </xf>
    <xf numFmtId="0" fontId="30" fillId="0" borderId="29" xfId="0" applyFont="1" applyBorder="1" applyAlignment="1">
      <alignment horizontal="left" vertical="center" wrapText="1" shrinkToFit="1"/>
    </xf>
    <xf numFmtId="0" fontId="2" fillId="24" borderId="8" xfId="0" applyFont="1" applyFill="1" applyBorder="1" applyAlignment="1" applyProtection="1">
      <alignment horizontal="center" vertical="center" wrapText="1" shrinkToFit="1"/>
    </xf>
    <xf numFmtId="0" fontId="2" fillId="24" borderId="10" xfId="0" applyFont="1" applyFill="1" applyBorder="1" applyAlignment="1" applyProtection="1">
      <alignment horizontal="center" vertical="center" wrapText="1" shrinkToFit="1"/>
    </xf>
    <xf numFmtId="0" fontId="0" fillId="0" borderId="10" xfId="0" applyBorder="1" applyAlignment="1">
      <alignment horizontal="center" vertical="center" wrapText="1" shrinkToFit="1"/>
    </xf>
    <xf numFmtId="0" fontId="0" fillId="0" borderId="23" xfId="0" applyBorder="1" applyAlignment="1">
      <alignment horizontal="center" vertical="center" wrapText="1" shrinkToFit="1"/>
    </xf>
    <xf numFmtId="0" fontId="1" fillId="24" borderId="8" xfId="0" applyFont="1" applyFill="1" applyBorder="1" applyAlignment="1" applyProtection="1">
      <alignment horizontal="center" vertical="center" wrapText="1" shrinkToFit="1"/>
    </xf>
    <xf numFmtId="0" fontId="0" fillId="24" borderId="10" xfId="0" applyFill="1" applyBorder="1" applyAlignment="1" applyProtection="1">
      <alignment horizontal="center" vertical="center" wrapText="1" shrinkToFit="1"/>
    </xf>
    <xf numFmtId="44" fontId="1" fillId="24" borderId="38" xfId="2" applyFont="1" applyFill="1" applyBorder="1" applyAlignment="1" applyProtection="1">
      <alignment horizontal="center" vertical="center" wrapText="1" shrinkToFit="1"/>
    </xf>
    <xf numFmtId="44" fontId="5" fillId="24" borderId="57" xfId="2" applyFont="1" applyFill="1" applyBorder="1" applyAlignment="1" applyProtection="1">
      <alignment horizontal="center" vertical="center" wrapText="1" shrinkToFit="1"/>
    </xf>
    <xf numFmtId="0" fontId="0" fillId="0" borderId="57" xfId="0" applyBorder="1" applyAlignment="1">
      <alignment horizontal="center" vertical="center" wrapText="1" shrinkToFit="1"/>
    </xf>
    <xf numFmtId="0" fontId="0" fillId="0" borderId="58" xfId="0" applyBorder="1" applyAlignment="1">
      <alignment horizontal="center" vertical="center" wrapText="1" shrinkToFit="1"/>
    </xf>
    <xf numFmtId="0" fontId="4" fillId="12" borderId="4" xfId="4" applyFont="1" applyFill="1" applyBorder="1" applyAlignment="1" applyProtection="1">
      <alignment horizontal="center" vertical="center" wrapText="1" shrinkToFit="1"/>
    </xf>
    <xf numFmtId="0" fontId="1" fillId="12" borderId="25" xfId="0" applyFont="1" applyFill="1" applyBorder="1" applyAlignment="1">
      <alignment horizontal="center" vertical="center" wrapText="1" shrinkToFit="1"/>
    </xf>
    <xf numFmtId="0" fontId="1" fillId="12" borderId="15" xfId="0" applyFont="1" applyFill="1" applyBorder="1" applyAlignment="1">
      <alignment horizontal="center" vertical="center" wrapText="1" shrinkToFit="1"/>
    </xf>
    <xf numFmtId="44" fontId="1" fillId="17" borderId="39" xfId="2" applyFont="1" applyFill="1" applyBorder="1" applyAlignment="1" applyProtection="1">
      <alignment horizontal="center" vertical="center" wrapText="1" shrinkToFit="1"/>
    </xf>
    <xf numFmtId="44" fontId="5" fillId="17" borderId="39" xfId="2" applyFont="1" applyFill="1" applyBorder="1" applyAlignment="1" applyProtection="1">
      <alignment horizontal="center" vertical="center" wrapText="1" shrinkToFit="1"/>
    </xf>
    <xf numFmtId="0" fontId="2" fillId="2" borderId="27" xfId="0" applyFont="1" applyFill="1" applyBorder="1" applyAlignment="1" applyProtection="1">
      <alignment horizontal="center" vertical="center" wrapText="1" shrinkToFit="1"/>
    </xf>
    <xf numFmtId="0" fontId="2" fillId="2" borderId="28" xfId="0" applyFont="1" applyFill="1" applyBorder="1" applyAlignment="1" applyProtection="1">
      <alignment horizontal="center" vertical="center" wrapText="1" shrinkToFit="1"/>
    </xf>
    <xf numFmtId="0" fontId="0" fillId="2" borderId="28" xfId="0" applyFill="1" applyBorder="1" applyAlignment="1">
      <alignment horizontal="center" vertical="center" wrapText="1" shrinkToFit="1"/>
    </xf>
    <xf numFmtId="0" fontId="0" fillId="2" borderId="22" xfId="0" applyFill="1" applyBorder="1" applyAlignment="1">
      <alignment horizontal="center" vertical="center" wrapText="1" shrinkToFit="1"/>
    </xf>
    <xf numFmtId="0" fontId="2" fillId="2" borderId="43" xfId="0" applyFont="1" applyFill="1" applyBorder="1" applyAlignment="1" applyProtection="1">
      <alignment horizontal="center" vertical="center" wrapText="1" shrinkToFit="1"/>
    </xf>
    <xf numFmtId="0" fontId="2" fillId="2" borderId="26" xfId="0" applyFont="1" applyFill="1" applyBorder="1" applyAlignment="1" applyProtection="1">
      <alignment horizontal="center" vertical="center" wrapText="1" shrinkToFit="1"/>
    </xf>
    <xf numFmtId="0" fontId="0" fillId="2" borderId="26" xfId="0" applyFill="1" applyBorder="1" applyAlignment="1">
      <alignment horizontal="center" vertical="center" wrapText="1" shrinkToFit="1"/>
    </xf>
    <xf numFmtId="0" fontId="22" fillId="24" borderId="24" xfId="0" applyFont="1" applyFill="1" applyBorder="1" applyAlignment="1" applyProtection="1">
      <alignment horizontal="center" vertical="center" wrapText="1" shrinkToFit="1"/>
    </xf>
    <xf numFmtId="0" fontId="22" fillId="24" borderId="56" xfId="0" applyFont="1" applyFill="1" applyBorder="1" applyAlignment="1" applyProtection="1">
      <alignment horizontal="center" vertical="center" wrapText="1" shrinkToFit="1"/>
    </xf>
    <xf numFmtId="0" fontId="0" fillId="0" borderId="56" xfId="0" applyBorder="1" applyAlignment="1">
      <alignment horizontal="center" vertical="center" wrapText="1" shrinkToFit="1"/>
    </xf>
    <xf numFmtId="0" fontId="0" fillId="0" borderId="55" xfId="0" applyBorder="1" applyAlignment="1">
      <alignment horizontal="center" vertical="center" wrapText="1" shrinkToFit="1"/>
    </xf>
    <xf numFmtId="0" fontId="2" fillId="17" borderId="1" xfId="0" applyFont="1" applyFill="1" applyBorder="1" applyAlignment="1" applyProtection="1">
      <alignment horizontal="center" vertical="center" wrapText="1" shrinkToFit="1"/>
    </xf>
    <xf numFmtId="0" fontId="1" fillId="17" borderId="1" xfId="0" applyFont="1" applyFill="1" applyBorder="1" applyAlignment="1" applyProtection="1">
      <alignment horizontal="center" vertical="center" wrapText="1" shrinkToFit="1"/>
    </xf>
    <xf numFmtId="0" fontId="0" fillId="17" borderId="1" xfId="0" applyFill="1" applyBorder="1" applyAlignment="1" applyProtection="1">
      <alignment horizontal="center" vertical="center" wrapText="1" shrinkToFit="1"/>
    </xf>
    <xf numFmtId="0" fontId="22" fillId="17" borderId="17" xfId="0" applyFont="1" applyFill="1" applyBorder="1" applyAlignment="1" applyProtection="1">
      <alignment horizontal="center" vertical="center" wrapText="1" shrinkToFit="1"/>
    </xf>
    <xf numFmtId="0" fontId="2" fillId="17" borderId="8" xfId="0" applyFont="1" applyFill="1" applyBorder="1" applyAlignment="1" applyProtection="1">
      <alignment horizontal="center" vertical="center" wrapText="1" shrinkToFit="1"/>
    </xf>
    <xf numFmtId="0" fontId="2" fillId="17" borderId="23" xfId="0" applyFont="1" applyFill="1" applyBorder="1" applyAlignment="1" applyProtection="1">
      <alignment horizontal="center" vertical="center" wrapText="1" shrinkToFit="1"/>
    </xf>
    <xf numFmtId="0" fontId="2" fillId="12" borderId="27" xfId="0" applyFont="1" applyFill="1" applyBorder="1" applyAlignment="1" applyProtection="1">
      <alignment horizontal="center" vertical="center" wrapText="1" shrinkToFit="1"/>
    </xf>
    <xf numFmtId="0" fontId="2" fillId="12" borderId="22" xfId="0" applyFont="1" applyFill="1" applyBorder="1" applyAlignment="1" applyProtection="1">
      <alignment horizontal="center" vertical="center" wrapText="1" shrinkToFit="1"/>
    </xf>
    <xf numFmtId="10" fontId="24" fillId="12" borderId="43" xfId="0" applyNumberFormat="1" applyFont="1" applyFill="1" applyBorder="1" applyAlignment="1" applyProtection="1">
      <alignment horizontal="center" vertical="center" wrapText="1" shrinkToFit="1"/>
    </xf>
    <xf numFmtId="10" fontId="24" fillId="12" borderId="44" xfId="0" applyNumberFormat="1" applyFont="1" applyFill="1" applyBorder="1" applyAlignment="1" applyProtection="1">
      <alignment horizontal="center" vertical="center" wrapText="1" shrinkToFit="1"/>
    </xf>
    <xf numFmtId="0" fontId="43" fillId="8" borderId="26" xfId="0" applyFont="1" applyFill="1" applyBorder="1" applyAlignment="1">
      <alignment horizontal="center" vertical="center"/>
    </xf>
    <xf numFmtId="0" fontId="2" fillId="8" borderId="26" xfId="0" applyFont="1" applyFill="1" applyBorder="1" applyAlignment="1">
      <alignment horizontal="center" vertical="center"/>
    </xf>
    <xf numFmtId="0" fontId="4" fillId="6" borderId="27" xfId="0" applyFont="1" applyFill="1" applyBorder="1" applyAlignment="1">
      <alignment horizontal="left" vertical="center" wrapText="1" shrinkToFit="1"/>
    </xf>
    <xf numFmtId="0" fontId="4" fillId="6" borderId="28" xfId="0" applyFont="1" applyFill="1" applyBorder="1" applyAlignment="1">
      <alignment horizontal="left" vertical="center" wrapText="1" shrinkToFit="1"/>
    </xf>
    <xf numFmtId="44" fontId="2" fillId="6" borderId="4" xfId="0" applyNumberFormat="1" applyFont="1" applyFill="1" applyBorder="1" applyAlignment="1" applyProtection="1">
      <alignment horizontal="center" vertical="center" wrapText="1" shrinkToFit="1"/>
    </xf>
    <xf numFmtId="44" fontId="2" fillId="6" borderId="15" xfId="0" applyNumberFormat="1" applyFont="1" applyFill="1" applyBorder="1" applyAlignment="1" applyProtection="1">
      <alignment horizontal="center" vertical="center" wrapText="1" shrinkToFit="1"/>
    </xf>
    <xf numFmtId="0" fontId="2" fillId="2" borderId="21" xfId="0" applyFont="1" applyFill="1" applyBorder="1" applyAlignment="1" applyProtection="1">
      <alignment horizontal="center" vertical="center"/>
    </xf>
    <xf numFmtId="0" fontId="2" fillId="2" borderId="54" xfId="0" applyFont="1" applyFill="1" applyBorder="1" applyAlignment="1" applyProtection="1">
      <alignment horizontal="center" vertical="center"/>
    </xf>
    <xf numFmtId="0" fontId="2" fillId="2" borderId="21" xfId="0" applyFont="1" applyFill="1" applyBorder="1" applyAlignment="1" applyProtection="1">
      <alignment horizontal="center" vertical="center" wrapText="1" shrinkToFit="1"/>
    </xf>
    <xf numFmtId="0" fontId="2" fillId="2" borderId="54" xfId="0" applyFont="1" applyFill="1" applyBorder="1" applyAlignment="1" applyProtection="1">
      <alignment horizontal="center" vertical="center" wrapText="1" shrinkToFit="1"/>
    </xf>
    <xf numFmtId="0" fontId="2" fillId="6" borderId="8"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23" xfId="0" applyBorder="1" applyAlignment="1">
      <alignment horizontal="center" vertical="center" wrapText="1"/>
    </xf>
    <xf numFmtId="0" fontId="4" fillId="2" borderId="4" xfId="4" applyFont="1" applyFill="1" applyBorder="1" applyAlignment="1" applyProtection="1">
      <alignment horizontal="center" vertical="center" wrapText="1" shrinkToFit="1"/>
    </xf>
    <xf numFmtId="0" fontId="13" fillId="2" borderId="25" xfId="0" applyFont="1" applyFill="1" applyBorder="1" applyAlignment="1">
      <alignment horizontal="center" vertical="center" wrapText="1" shrinkToFit="1"/>
    </xf>
    <xf numFmtId="0" fontId="13" fillId="2" borderId="15" xfId="0" applyFont="1" applyFill="1" applyBorder="1" applyAlignment="1">
      <alignment horizontal="center" vertical="center" wrapText="1" shrinkToFit="1"/>
    </xf>
    <xf numFmtId="0" fontId="15" fillId="10" borderId="4" xfId="0" applyFont="1" applyFill="1" applyBorder="1" applyAlignment="1">
      <alignment horizontal="center" vertical="center" wrapText="1" shrinkToFit="1"/>
    </xf>
    <xf numFmtId="0" fontId="15" fillId="10" borderId="15" xfId="0" applyFont="1" applyFill="1" applyBorder="1" applyAlignment="1">
      <alignment horizontal="center" vertical="center" wrapText="1" shrinkToFit="1"/>
    </xf>
    <xf numFmtId="10" fontId="4" fillId="11" borderId="1" xfId="3" applyNumberFormat="1" applyFont="1" applyFill="1" applyBorder="1" applyAlignment="1" applyProtection="1">
      <alignment horizontal="center" vertical="center" wrapText="1" shrinkToFit="1"/>
    </xf>
    <xf numFmtId="0" fontId="2" fillId="12" borderId="21" xfId="0" applyFont="1" applyFill="1" applyBorder="1" applyAlignment="1" applyProtection="1">
      <alignment horizontal="center" vertical="center" wrapText="1" shrinkToFit="1"/>
    </xf>
    <xf numFmtId="0" fontId="2" fillId="12" borderId="54" xfId="0" applyFont="1" applyFill="1" applyBorder="1" applyAlignment="1" applyProtection="1">
      <alignment horizontal="center" vertical="center" wrapText="1" shrinkToFit="1"/>
    </xf>
    <xf numFmtId="0" fontId="2" fillId="12" borderId="27" xfId="0" applyFont="1" applyFill="1" applyBorder="1" applyAlignment="1" applyProtection="1">
      <alignment horizontal="center" vertical="center"/>
    </xf>
    <xf numFmtId="0" fontId="2" fillId="12" borderId="43" xfId="0" applyFont="1" applyFill="1" applyBorder="1" applyAlignment="1" applyProtection="1">
      <alignment horizontal="center" vertical="center"/>
    </xf>
    <xf numFmtId="0" fontId="1" fillId="20" borderId="0" xfId="0" applyFont="1" applyFill="1" applyBorder="1" applyAlignment="1">
      <alignment horizontal="left" vertical="top" wrapText="1" shrinkToFit="1"/>
    </xf>
    <xf numFmtId="0" fontId="1" fillId="20" borderId="0" xfId="0" applyFont="1" applyFill="1" applyAlignment="1">
      <alignment horizontal="left" vertical="top" wrapText="1" shrinkToFit="1"/>
    </xf>
    <xf numFmtId="0" fontId="1" fillId="20" borderId="29" xfId="0" applyFont="1" applyFill="1" applyBorder="1" applyAlignment="1">
      <alignment horizontal="left" vertical="top" wrapText="1" shrinkToFit="1"/>
    </xf>
  </cellXfs>
  <cellStyles count="6">
    <cellStyle name="Lien hypertexte" xfId="5" builtinId="8"/>
    <cellStyle name="Milliers" xfId="1" builtinId="3"/>
    <cellStyle name="Monétaire" xfId="2" builtinId="4"/>
    <cellStyle name="Normal" xfId="0" builtinId="0"/>
    <cellStyle name="Normal 2" xfId="4"/>
    <cellStyle name="Pourcentage" xfId="3" builtinId="5"/>
  </cellStyles>
  <dxfs count="9">
    <dxf>
      <fill>
        <patternFill>
          <bgColor theme="6" tint="0.39994506668294322"/>
        </patternFill>
      </fill>
    </dxf>
    <dxf>
      <fill>
        <patternFill>
          <bgColor theme="4" tint="0.59996337778862885"/>
        </patternFill>
      </fill>
    </dxf>
    <dxf>
      <fill>
        <patternFill>
          <bgColor rgb="FFFFFF00"/>
        </patternFill>
      </fill>
    </dxf>
    <dxf>
      <fill>
        <patternFill>
          <bgColor theme="6" tint="0.39994506668294322"/>
        </patternFill>
      </fill>
    </dxf>
    <dxf>
      <fill>
        <patternFill>
          <bgColor theme="4" tint="0.59996337778862885"/>
        </patternFill>
      </fill>
    </dxf>
    <dxf>
      <fill>
        <patternFill>
          <bgColor rgb="FFFFFF00"/>
        </patternFill>
      </fill>
    </dxf>
    <dxf>
      <fill>
        <patternFill>
          <bgColor theme="6" tint="0.39994506668294322"/>
        </patternFill>
      </fill>
    </dxf>
    <dxf>
      <fill>
        <patternFill>
          <bgColor theme="4" tint="0.59996337778862885"/>
        </patternFill>
      </fill>
    </dxf>
    <dxf>
      <fill>
        <patternFill>
          <bgColor rgb="FFFFFF00"/>
        </patternFill>
      </fill>
    </dxf>
  </dxfs>
  <tableStyles count="0" defaultTableStyle="TableStyleMedium2" defaultPivotStyle="PivotStyleLight16"/>
  <colors>
    <mruColors>
      <color rgb="FFF1FF89"/>
      <color rgb="FFFFFFCC"/>
      <color rgb="FFF9FFCD"/>
      <color rgb="FFFFCC99"/>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8</xdr:col>
      <xdr:colOff>716280</xdr:colOff>
      <xdr:row>11</xdr:row>
      <xdr:rowOff>213360</xdr:rowOff>
    </xdr:from>
    <xdr:to>
      <xdr:col>11</xdr:col>
      <xdr:colOff>152400</xdr:colOff>
      <xdr:row>13</xdr:row>
      <xdr:rowOff>149860</xdr:rowOff>
    </xdr:to>
    <xdr:pic>
      <xdr:nvPicPr>
        <xdr:cNvPr id="3" name="Imag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56120" y="5425440"/>
          <a:ext cx="1813560" cy="782320"/>
        </a:xfrm>
        <a:prstGeom prst="rect">
          <a:avLst/>
        </a:prstGeom>
      </xdr:spPr>
    </xdr:pic>
    <xdr:clientData/>
  </xdr:twoCellAnchor>
  <xdr:twoCellAnchor editAs="oneCell">
    <xdr:from>
      <xdr:col>4</xdr:col>
      <xdr:colOff>106680</xdr:colOff>
      <xdr:row>10</xdr:row>
      <xdr:rowOff>68580</xdr:rowOff>
    </xdr:from>
    <xdr:to>
      <xdr:col>5</xdr:col>
      <xdr:colOff>585216</xdr:colOff>
      <xdr:row>11</xdr:row>
      <xdr:rowOff>623316</xdr:rowOff>
    </xdr:to>
    <xdr:pic>
      <xdr:nvPicPr>
        <xdr:cNvPr id="6" name="Image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76600" y="5280660"/>
          <a:ext cx="1271016" cy="12710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868695</xdr:colOff>
      <xdr:row>0</xdr:row>
      <xdr:rowOff>114305</xdr:rowOff>
    </xdr:from>
    <xdr:to>
      <xdr:col>11</xdr:col>
      <xdr:colOff>1667584</xdr:colOff>
      <xdr:row>0</xdr:row>
      <xdr:rowOff>917035</xdr:rowOff>
    </xdr:to>
    <xdr:pic>
      <xdr:nvPicPr>
        <xdr:cNvPr id="3" name="Image 2"/>
        <xdr:cNvPicPr>
          <a:picLocks noChangeAspect="1"/>
        </xdr:cNvPicPr>
      </xdr:nvPicPr>
      <xdr:blipFill>
        <a:blip xmlns:r="http://schemas.openxmlformats.org/officeDocument/2006/relationships" r:embed="rId1"/>
        <a:stretch>
          <a:fillRect/>
        </a:stretch>
      </xdr:blipFill>
      <xdr:spPr>
        <a:xfrm>
          <a:off x="14173215" y="114305"/>
          <a:ext cx="798889" cy="802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16</xdr:col>
      <xdr:colOff>409575</xdr:colOff>
      <xdr:row>33</xdr:row>
      <xdr:rowOff>152400</xdr:rowOff>
    </xdr:from>
    <xdr:to>
      <xdr:col>17</xdr:col>
      <xdr:colOff>304800</xdr:colOff>
      <xdr:row>34</xdr:row>
      <xdr:rowOff>312420</xdr:rowOff>
    </xdr:to>
    <xdr:sp macro="" textlink="">
      <xdr:nvSpPr>
        <xdr:cNvPr id="2" name="Flèche vers le bas 1"/>
        <xdr:cNvSpPr/>
      </xdr:nvSpPr>
      <xdr:spPr>
        <a:xfrm>
          <a:off x="15840075" y="11480800"/>
          <a:ext cx="1711325" cy="325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xdr:from>
      <xdr:col>2</xdr:col>
      <xdr:colOff>571501</xdr:colOff>
      <xdr:row>33</xdr:row>
      <xdr:rowOff>152400</xdr:rowOff>
    </xdr:from>
    <xdr:to>
      <xdr:col>5</xdr:col>
      <xdr:colOff>47625</xdr:colOff>
      <xdr:row>34</xdr:row>
      <xdr:rowOff>314326</xdr:rowOff>
    </xdr:to>
    <xdr:sp macro="" textlink="">
      <xdr:nvSpPr>
        <xdr:cNvPr id="3" name="Flèche vers le bas 2"/>
        <xdr:cNvSpPr/>
      </xdr:nvSpPr>
      <xdr:spPr>
        <a:xfrm>
          <a:off x="4133851" y="11649075"/>
          <a:ext cx="1733549" cy="33337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twoCellAnchor>
  <xdr:twoCellAnchor editAs="oneCell">
    <xdr:from>
      <xdr:col>6</xdr:col>
      <xdr:colOff>581175</xdr:colOff>
      <xdr:row>34</xdr:row>
      <xdr:rowOff>203199</xdr:rowOff>
    </xdr:from>
    <xdr:to>
      <xdr:col>14</xdr:col>
      <xdr:colOff>568325</xdr:colOff>
      <xdr:row>43</xdr:row>
      <xdr:rowOff>84703</xdr:rowOff>
    </xdr:to>
    <xdr:pic>
      <xdr:nvPicPr>
        <xdr:cNvPr id="4" name="Image 3"/>
        <xdr:cNvPicPr>
          <a:picLocks noChangeAspect="1"/>
        </xdr:cNvPicPr>
      </xdr:nvPicPr>
      <xdr:blipFill>
        <a:blip xmlns:r="http://schemas.openxmlformats.org/officeDocument/2006/relationships" r:embed="rId1"/>
        <a:stretch>
          <a:fillRect/>
        </a:stretch>
      </xdr:blipFill>
      <xdr:spPr>
        <a:xfrm>
          <a:off x="7718575" y="11556999"/>
          <a:ext cx="7073750" cy="4793864"/>
        </a:xfrm>
        <a:prstGeom prst="rect">
          <a:avLst/>
        </a:prstGeom>
      </xdr:spPr>
    </xdr:pic>
    <xdr:clientData/>
  </xdr:twoCellAnchor>
  <xdr:twoCellAnchor editAs="oneCell">
    <xdr:from>
      <xdr:col>18</xdr:col>
      <xdr:colOff>1076328</xdr:colOff>
      <xdr:row>0</xdr:row>
      <xdr:rowOff>85730</xdr:rowOff>
    </xdr:from>
    <xdr:to>
      <xdr:col>19</xdr:col>
      <xdr:colOff>820445</xdr:colOff>
      <xdr:row>0</xdr:row>
      <xdr:rowOff>930404</xdr:rowOff>
    </xdr:to>
    <xdr:pic>
      <xdr:nvPicPr>
        <xdr:cNvPr id="6" name="Image 5"/>
        <xdr:cNvPicPr>
          <a:picLocks noChangeAspect="1"/>
        </xdr:cNvPicPr>
      </xdr:nvPicPr>
      <xdr:blipFill>
        <a:blip xmlns:r="http://schemas.openxmlformats.org/officeDocument/2006/relationships" r:embed="rId2"/>
        <a:stretch>
          <a:fillRect/>
        </a:stretch>
      </xdr:blipFill>
      <xdr:spPr>
        <a:xfrm>
          <a:off x="19183353" y="85730"/>
          <a:ext cx="839492" cy="8446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548640</xdr:colOff>
      <xdr:row>43</xdr:row>
      <xdr:rowOff>30296</xdr:rowOff>
    </xdr:to>
    <xdr:pic>
      <xdr:nvPicPr>
        <xdr:cNvPr id="3" name="Imag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058400" cy="7238816"/>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grireseau.net/documents/96223/outil-excel-du-calcul-du-prix-co%C3%BBtant-de-coupes-de-viande-et-de-la-marge-beneficiaire?a=1&amp;r=budget+coupes+viande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A1:M23"/>
  <sheetViews>
    <sheetView showGridLines="0" tabSelected="1" zoomScaleNormal="100" zoomScaleSheetLayoutView="75" workbookViewId="0">
      <selection activeCell="A6" sqref="A6:M6"/>
    </sheetView>
  </sheetViews>
  <sheetFormatPr baseColWidth="10" defaultRowHeight="13.2" x14ac:dyDescent="0.25"/>
  <cols>
    <col min="1" max="13" width="11.5546875" style="137"/>
    <col min="14" max="14" width="3.44140625" style="137" customWidth="1"/>
    <col min="15" max="16384" width="11.5546875" style="137"/>
  </cols>
  <sheetData>
    <row r="1" spans="1:13" ht="54.6" customHeight="1" x14ac:dyDescent="0.25">
      <c r="A1" s="225" t="s">
        <v>79</v>
      </c>
      <c r="B1" s="225"/>
      <c r="C1" s="225"/>
      <c r="D1" s="225"/>
      <c r="E1" s="225"/>
      <c r="F1" s="225"/>
      <c r="G1" s="225"/>
      <c r="H1" s="225"/>
      <c r="I1" s="225"/>
      <c r="J1" s="225"/>
      <c r="K1" s="225"/>
      <c r="L1" s="225"/>
      <c r="M1" s="226"/>
    </row>
    <row r="2" spans="1:13" ht="15" customHeight="1" x14ac:dyDescent="0.25"/>
    <row r="3" spans="1:13" ht="72" customHeight="1" x14ac:dyDescent="0.3">
      <c r="A3" s="223" t="s">
        <v>133</v>
      </c>
      <c r="B3" s="224"/>
      <c r="C3" s="224"/>
      <c r="D3" s="224"/>
      <c r="E3" s="224"/>
      <c r="F3" s="224"/>
      <c r="G3" s="224"/>
      <c r="H3" s="224"/>
      <c r="I3" s="224"/>
      <c r="J3" s="224"/>
      <c r="K3" s="224"/>
      <c r="L3" s="224"/>
      <c r="M3" s="224"/>
    </row>
    <row r="4" spans="1:13" ht="15" customHeight="1" x14ac:dyDescent="0.35">
      <c r="A4" s="177"/>
      <c r="B4" s="178"/>
      <c r="C4" s="178"/>
      <c r="D4" s="178"/>
      <c r="E4" s="178"/>
      <c r="F4" s="178"/>
      <c r="G4" s="178"/>
      <c r="H4" s="178"/>
      <c r="I4" s="178"/>
      <c r="J4" s="178"/>
      <c r="K4" s="178"/>
      <c r="L4" s="178"/>
      <c r="M4" s="178"/>
    </row>
    <row r="5" spans="1:13" ht="24" customHeight="1" x14ac:dyDescent="0.25">
      <c r="A5" s="221" t="s">
        <v>86</v>
      </c>
      <c r="B5" s="222"/>
      <c r="C5" s="222"/>
      <c r="D5" s="222"/>
      <c r="E5" s="222"/>
      <c r="F5" s="222"/>
      <c r="G5" s="222"/>
      <c r="H5" s="222"/>
      <c r="I5" s="222"/>
      <c r="J5" s="222"/>
      <c r="K5" s="222"/>
      <c r="L5" s="222"/>
      <c r="M5" s="222"/>
    </row>
    <row r="6" spans="1:13" ht="69.599999999999994" customHeight="1" x14ac:dyDescent="0.25">
      <c r="A6" s="218" t="s">
        <v>87</v>
      </c>
      <c r="B6" s="219"/>
      <c r="C6" s="219"/>
      <c r="D6" s="219"/>
      <c r="E6" s="219"/>
      <c r="F6" s="219"/>
      <c r="G6" s="219"/>
      <c r="H6" s="219"/>
      <c r="I6" s="219"/>
      <c r="J6" s="219"/>
      <c r="K6" s="219"/>
      <c r="L6" s="219"/>
      <c r="M6" s="219"/>
    </row>
    <row r="7" spans="1:13" ht="15" customHeight="1" x14ac:dyDescent="0.25">
      <c r="A7" s="207"/>
      <c r="B7" s="208"/>
      <c r="C7" s="208"/>
      <c r="D7" s="208"/>
      <c r="E7" s="208"/>
      <c r="F7" s="208"/>
      <c r="G7" s="208"/>
      <c r="H7" s="208"/>
      <c r="I7" s="208"/>
      <c r="J7" s="208"/>
      <c r="K7" s="208"/>
      <c r="L7" s="208"/>
      <c r="M7" s="208"/>
    </row>
    <row r="8" spans="1:13" ht="24" customHeight="1" x14ac:dyDescent="0.25">
      <c r="A8" s="221" t="s">
        <v>88</v>
      </c>
      <c r="B8" s="222"/>
      <c r="C8" s="222"/>
      <c r="D8" s="222"/>
      <c r="E8" s="222"/>
      <c r="F8" s="222"/>
      <c r="G8" s="222"/>
      <c r="H8" s="222"/>
      <c r="I8" s="222"/>
      <c r="J8" s="222"/>
      <c r="K8" s="222"/>
      <c r="L8" s="222"/>
      <c r="M8" s="222"/>
    </row>
    <row r="9" spans="1:13" s="200" customFormat="1" ht="27" customHeight="1" x14ac:dyDescent="0.25">
      <c r="A9" s="228" t="s">
        <v>89</v>
      </c>
      <c r="B9" s="229"/>
      <c r="C9" s="229"/>
      <c r="D9" s="229"/>
      <c r="E9" s="229"/>
      <c r="F9" s="229"/>
      <c r="G9" s="229"/>
      <c r="H9" s="229"/>
      <c r="I9" s="229"/>
      <c r="J9" s="229"/>
      <c r="K9" s="229"/>
      <c r="L9" s="229"/>
      <c r="M9" s="229"/>
    </row>
    <row r="10" spans="1:13" ht="94.2" customHeight="1" x14ac:dyDescent="0.25">
      <c r="A10" s="229"/>
      <c r="B10" s="229"/>
      <c r="C10" s="229"/>
      <c r="D10" s="229"/>
      <c r="E10" s="229"/>
      <c r="F10" s="229"/>
      <c r="G10" s="229"/>
      <c r="H10" s="229"/>
      <c r="I10" s="229"/>
      <c r="J10" s="229"/>
      <c r="K10" s="229"/>
      <c r="L10" s="229"/>
      <c r="M10" s="229"/>
    </row>
    <row r="11" spans="1:13" ht="56.4" customHeight="1" x14ac:dyDescent="0.25">
      <c r="A11" s="209" t="s">
        <v>90</v>
      </c>
      <c r="B11" s="209"/>
      <c r="C11" s="209"/>
      <c r="D11" s="209"/>
      <c r="E11" s="209"/>
      <c r="F11" s="209"/>
      <c r="G11" s="209"/>
      <c r="H11" s="209"/>
      <c r="I11" s="209"/>
      <c r="J11" s="209"/>
      <c r="K11" s="209"/>
      <c r="L11" s="209"/>
      <c r="M11" s="209"/>
    </row>
    <row r="12" spans="1:13" ht="53.4" customHeight="1" x14ac:dyDescent="0.25">
      <c r="A12" s="209" t="s">
        <v>91</v>
      </c>
      <c r="B12" s="180"/>
      <c r="C12" s="180"/>
      <c r="D12" s="180"/>
      <c r="E12" s="180"/>
      <c r="F12" s="180"/>
      <c r="G12" s="180"/>
      <c r="H12" s="180"/>
      <c r="I12" s="180"/>
      <c r="J12" s="180"/>
      <c r="K12" s="180"/>
      <c r="L12" s="180"/>
      <c r="M12" s="180"/>
    </row>
    <row r="13" spans="1:13" x14ac:dyDescent="0.25">
      <c r="A13" s="227" t="s">
        <v>98</v>
      </c>
      <c r="B13" s="227"/>
    </row>
    <row r="14" spans="1:13" x14ac:dyDescent="0.25">
      <c r="A14" s="227"/>
      <c r="B14" s="227"/>
      <c r="C14" s="220" t="s">
        <v>46</v>
      </c>
      <c r="D14" s="220"/>
    </row>
    <row r="15" spans="1:13" x14ac:dyDescent="0.25">
      <c r="C15" s="220" t="s">
        <v>36</v>
      </c>
      <c r="D15" s="220"/>
    </row>
    <row r="16" spans="1:13" x14ac:dyDescent="0.25">
      <c r="C16" s="220" t="s">
        <v>37</v>
      </c>
      <c r="D16" s="220"/>
      <c r="E16" s="217"/>
    </row>
    <row r="17" spans="1:13" ht="13.2" customHeight="1" x14ac:dyDescent="0.25">
      <c r="A17" s="230" t="s">
        <v>47</v>
      </c>
      <c r="B17" s="230"/>
      <c r="C17" s="220"/>
      <c r="D17" s="220"/>
      <c r="H17" s="216" t="s">
        <v>56</v>
      </c>
      <c r="I17" s="217"/>
      <c r="J17" s="217"/>
      <c r="K17" s="217"/>
      <c r="L17" s="217"/>
      <c r="M17" s="217"/>
    </row>
    <row r="18" spans="1:13" x14ac:dyDescent="0.25">
      <c r="A18" s="230"/>
      <c r="B18" s="230"/>
      <c r="C18" s="220" t="s">
        <v>38</v>
      </c>
      <c r="D18" s="220"/>
      <c r="H18" s="217"/>
      <c r="I18" s="217"/>
      <c r="J18" s="217"/>
      <c r="K18" s="217"/>
      <c r="L18" s="217"/>
      <c r="M18" s="217"/>
    </row>
    <row r="19" spans="1:13" x14ac:dyDescent="0.25">
      <c r="A19" s="230"/>
      <c r="B19" s="230"/>
      <c r="C19" s="210" t="s">
        <v>92</v>
      </c>
      <c r="H19" s="217"/>
      <c r="I19" s="217"/>
      <c r="J19" s="217"/>
      <c r="K19" s="217"/>
      <c r="L19" s="217"/>
      <c r="M19" s="217"/>
    </row>
    <row r="20" spans="1:13" x14ac:dyDescent="0.25">
      <c r="B20" s="210"/>
      <c r="C20" s="220" t="s">
        <v>55</v>
      </c>
      <c r="D20" s="220"/>
    </row>
    <row r="23" spans="1:13" x14ac:dyDescent="0.25">
      <c r="C23" s="220"/>
      <c r="D23" s="220"/>
    </row>
  </sheetData>
  <sheetProtection sheet="1" objects="1" scenarios="1"/>
  <mergeCells count="16">
    <mergeCell ref="C20:D20"/>
    <mergeCell ref="C23:D23"/>
    <mergeCell ref="A17:B19"/>
    <mergeCell ref="C15:D15"/>
    <mergeCell ref="C16:E16"/>
    <mergeCell ref="A3:M3"/>
    <mergeCell ref="A1:M1"/>
    <mergeCell ref="C14:D14"/>
    <mergeCell ref="A13:B14"/>
    <mergeCell ref="A9:M10"/>
    <mergeCell ref="A5:M5"/>
    <mergeCell ref="H17:M19"/>
    <mergeCell ref="A6:M6"/>
    <mergeCell ref="C17:D17"/>
    <mergeCell ref="C18:D18"/>
    <mergeCell ref="A8:M8"/>
  </mergeCells>
  <phoneticPr fontId="8" type="noConversion"/>
  <hyperlinks>
    <hyperlink ref="A13:B14" r:id="rId1" display="Outil original réalisé par : "/>
  </hyperlinks>
  <pageMargins left="1.1023622047244095" right="1.1023622047244095" top="0.78740157480314965" bottom="0.78740157480314965" header="0.51181102362204722" footer="0.51181102362204722"/>
  <pageSetup scale="75" orientation="landscape" horizontalDpi="300" verticalDpi="300"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38"/>
  <sheetViews>
    <sheetView zoomScaleNormal="100" zoomScaleSheetLayoutView="100" workbookViewId="0">
      <selection activeCell="L34" sqref="A1:L34"/>
    </sheetView>
  </sheetViews>
  <sheetFormatPr baseColWidth="10" defaultRowHeight="13.2" x14ac:dyDescent="0.25"/>
  <cols>
    <col min="1" max="1" width="20.6640625" style="1" customWidth="1"/>
    <col min="2" max="2" width="13.109375" style="1" customWidth="1"/>
    <col min="3" max="4" width="11.5546875" style="1"/>
    <col min="5" max="5" width="15.33203125" style="1" customWidth="1"/>
    <col min="6" max="6" width="18.77734375" style="1" customWidth="1"/>
    <col min="7" max="7" width="20.33203125" style="1" customWidth="1"/>
    <col min="8" max="8" width="20.44140625" style="1" customWidth="1"/>
    <col min="9" max="9" width="18.88671875" style="1" customWidth="1"/>
    <col min="10" max="10" width="16.88671875" style="1" customWidth="1"/>
    <col min="11" max="11" width="26.44140625" style="1" customWidth="1"/>
    <col min="12" max="12" width="26.21875" style="1" customWidth="1"/>
    <col min="13" max="15" width="11.5546875" style="1"/>
    <col min="16" max="16" width="0" style="1" hidden="1" customWidth="1"/>
    <col min="17" max="16384" width="11.5546875" style="1"/>
  </cols>
  <sheetData>
    <row r="1" spans="1:16" ht="81" customHeight="1" thickBot="1" x14ac:dyDescent="0.3">
      <c r="A1" s="261" t="s">
        <v>80</v>
      </c>
      <c r="B1" s="262"/>
      <c r="C1" s="262"/>
      <c r="D1" s="262"/>
      <c r="E1" s="262"/>
      <c r="F1" s="262"/>
      <c r="G1" s="262"/>
      <c r="H1" s="262"/>
      <c r="I1" s="262"/>
      <c r="J1" s="262"/>
      <c r="K1" s="262"/>
      <c r="L1" s="263"/>
    </row>
    <row r="2" spans="1:16" ht="64.2" customHeight="1" thickBot="1" x14ac:dyDescent="0.3">
      <c r="A2" s="264" t="s">
        <v>126</v>
      </c>
      <c r="B2" s="265"/>
      <c r="C2" s="265"/>
      <c r="D2" s="265"/>
      <c r="E2" s="265"/>
      <c r="F2" s="265"/>
      <c r="G2" s="265"/>
      <c r="H2" s="265"/>
      <c r="I2" s="265"/>
      <c r="J2" s="265"/>
      <c r="K2" s="265"/>
      <c r="L2" s="266"/>
    </row>
    <row r="3" spans="1:16" ht="21" customHeight="1" x14ac:dyDescent="0.25">
      <c r="A3" s="270" t="s">
        <v>111</v>
      </c>
      <c r="B3" s="271"/>
      <c r="C3" s="271"/>
      <c r="D3" s="271"/>
      <c r="E3" s="271"/>
      <c r="F3" s="271"/>
      <c r="G3" s="271"/>
      <c r="H3" s="271"/>
      <c r="I3" s="271"/>
      <c r="J3" s="134"/>
      <c r="K3" s="134"/>
      <c r="L3" s="135"/>
    </row>
    <row r="4" spans="1:16" ht="39" customHeight="1" thickBot="1" x14ac:dyDescent="0.3">
      <c r="A4" s="267" t="s">
        <v>112</v>
      </c>
      <c r="B4" s="268"/>
      <c r="C4" s="268"/>
      <c r="D4" s="268"/>
      <c r="E4" s="268"/>
      <c r="F4" s="269" t="s">
        <v>104</v>
      </c>
      <c r="G4" s="269"/>
      <c r="H4" s="269"/>
      <c r="I4" s="159"/>
      <c r="J4" s="272"/>
      <c r="K4" s="272"/>
      <c r="L4" s="273"/>
    </row>
    <row r="5" spans="1:16" ht="13.2" customHeight="1" x14ac:dyDescent="0.25">
      <c r="A5" s="104"/>
      <c r="B5" s="102"/>
      <c r="C5" s="102"/>
      <c r="D5" s="102"/>
      <c r="E5" s="102"/>
      <c r="F5" s="102"/>
      <c r="G5" s="102"/>
      <c r="H5" s="102"/>
      <c r="I5" s="102"/>
      <c r="J5" s="102"/>
      <c r="K5" s="102"/>
      <c r="L5" s="103"/>
    </row>
    <row r="6" spans="1:16" ht="78" customHeight="1" x14ac:dyDescent="0.25">
      <c r="A6" s="136" t="s">
        <v>15</v>
      </c>
      <c r="B6" s="274" t="s">
        <v>125</v>
      </c>
      <c r="C6" s="275"/>
      <c r="D6" s="275"/>
      <c r="E6" s="275"/>
      <c r="F6" s="275"/>
      <c r="G6" s="275"/>
      <c r="H6" s="275"/>
      <c r="I6" s="275"/>
      <c r="J6" s="275"/>
      <c r="K6" s="275"/>
      <c r="L6" s="276"/>
    </row>
    <row r="7" spans="1:16" x14ac:dyDescent="0.25">
      <c r="A7" s="96"/>
      <c r="B7" s="97"/>
      <c r="C7" s="97"/>
      <c r="D7" s="97"/>
      <c r="E7" s="97"/>
      <c r="F7" s="97"/>
      <c r="G7" s="97"/>
      <c r="H7" s="97"/>
      <c r="I7" s="97"/>
      <c r="J7" s="97"/>
      <c r="K7" s="97"/>
      <c r="L7" s="98"/>
    </row>
    <row r="8" spans="1:16" ht="26.4" x14ac:dyDescent="0.25">
      <c r="A8" s="96"/>
      <c r="B8" s="97"/>
      <c r="C8" s="97"/>
      <c r="D8" s="97"/>
      <c r="E8" s="106" t="s">
        <v>16</v>
      </c>
      <c r="F8" s="160" t="s">
        <v>17</v>
      </c>
      <c r="G8" s="161" t="s">
        <v>42</v>
      </c>
      <c r="H8" s="162" t="s">
        <v>18</v>
      </c>
      <c r="I8" s="163" t="s">
        <v>19</v>
      </c>
      <c r="J8" s="162" t="s">
        <v>20</v>
      </c>
      <c r="K8" s="97"/>
      <c r="L8" s="98"/>
    </row>
    <row r="9" spans="1:16" ht="69" x14ac:dyDescent="0.25">
      <c r="A9" s="96"/>
      <c r="B9" s="277" t="s">
        <v>93</v>
      </c>
      <c r="C9" s="278"/>
      <c r="D9" s="97"/>
      <c r="E9" s="112"/>
      <c r="F9" s="113" t="s">
        <v>94</v>
      </c>
      <c r="G9" s="114" t="s">
        <v>40</v>
      </c>
      <c r="H9" s="115" t="s">
        <v>39</v>
      </c>
      <c r="I9" s="116" t="s">
        <v>41</v>
      </c>
      <c r="J9" s="115" t="s">
        <v>21</v>
      </c>
      <c r="K9" s="97"/>
      <c r="L9" s="98"/>
    </row>
    <row r="10" spans="1:16" ht="28.8" customHeight="1" x14ac:dyDescent="0.25">
      <c r="A10" s="96"/>
      <c r="B10" s="97"/>
      <c r="C10" s="97"/>
      <c r="D10" s="97"/>
      <c r="E10" s="107" t="s">
        <v>22</v>
      </c>
      <c r="F10" s="108">
        <v>0.42</v>
      </c>
      <c r="G10" s="109">
        <v>0.45</v>
      </c>
      <c r="H10" s="110">
        <v>0.5</v>
      </c>
      <c r="I10" s="111">
        <v>0.55000000000000004</v>
      </c>
      <c r="J10" s="153" t="s">
        <v>95</v>
      </c>
      <c r="K10" s="97"/>
      <c r="L10" s="98"/>
    </row>
    <row r="11" spans="1:16" ht="26.4" x14ac:dyDescent="0.25">
      <c r="A11" s="96"/>
      <c r="B11" s="279">
        <v>48</v>
      </c>
      <c r="C11" s="280"/>
      <c r="D11" s="97" t="s">
        <v>23</v>
      </c>
      <c r="E11" s="105" t="s">
        <v>69</v>
      </c>
      <c r="F11" s="281">
        <v>0.45</v>
      </c>
      <c r="G11" s="282"/>
      <c r="H11" s="282"/>
      <c r="I11" s="283"/>
      <c r="J11" s="148">
        <f>IF(F11="","",IF(B11=0,"",IF(B11="","",(+B11*F11))))</f>
        <v>21.6</v>
      </c>
      <c r="K11" s="284" t="str">
        <f>IF(J11="","", "Vous pouvez utiliser cette moyenne dans vos calculs si vous n'avez pas le vrai poids de l'abattage.")</f>
        <v>Vous pouvez utiliser cette moyenne dans vos calculs si vous n'avez pas le vrai poids de l'abattage.</v>
      </c>
      <c r="L11" s="285"/>
    </row>
    <row r="12" spans="1:16" x14ac:dyDescent="0.25">
      <c r="A12" s="96"/>
      <c r="B12" s="97"/>
      <c r="C12" s="97"/>
      <c r="D12" s="97"/>
      <c r="E12" s="97"/>
      <c r="F12" s="97"/>
      <c r="G12" s="97"/>
      <c r="H12" s="97"/>
      <c r="I12" s="97"/>
      <c r="J12" s="97"/>
      <c r="K12" s="97"/>
      <c r="L12" s="98"/>
    </row>
    <row r="13" spans="1:16" ht="13.8" thickBot="1" x14ac:dyDescent="0.3">
      <c r="A13" s="99"/>
      <c r="B13" s="100"/>
      <c r="C13" s="100"/>
      <c r="D13" s="100"/>
      <c r="E13" s="100"/>
      <c r="F13" s="100"/>
      <c r="G13" s="100"/>
      <c r="H13" s="100"/>
      <c r="I13" s="100"/>
      <c r="J13" s="100"/>
      <c r="K13" s="100"/>
      <c r="L13" s="101"/>
    </row>
    <row r="14" spans="1:16" x14ac:dyDescent="0.25">
      <c r="A14" s="190"/>
      <c r="B14" s="191"/>
      <c r="C14" s="191"/>
      <c r="D14" s="191"/>
      <c r="E14" s="191"/>
      <c r="F14" s="191"/>
      <c r="G14" s="191"/>
      <c r="H14" s="191"/>
      <c r="I14" s="191"/>
      <c r="J14" s="191"/>
      <c r="K14" s="191"/>
      <c r="L14" s="192"/>
    </row>
    <row r="15" spans="1:16" ht="72.599999999999994" customHeight="1" x14ac:dyDescent="0.25">
      <c r="A15" s="193" t="s">
        <v>24</v>
      </c>
      <c r="B15" s="345" t="s">
        <v>132</v>
      </c>
      <c r="C15" s="346"/>
      <c r="D15" s="346"/>
      <c r="E15" s="346"/>
      <c r="F15" s="346"/>
      <c r="G15" s="346"/>
      <c r="H15" s="346"/>
      <c r="I15" s="346"/>
      <c r="J15" s="346"/>
      <c r="K15" s="346"/>
      <c r="L15" s="347"/>
      <c r="P15" s="1">
        <v>1</v>
      </c>
    </row>
    <row r="16" spans="1:16" ht="24.6" customHeight="1" thickBot="1" x14ac:dyDescent="0.3">
      <c r="A16" s="190"/>
      <c r="B16" s="191"/>
      <c r="C16" s="191"/>
      <c r="D16" s="191"/>
      <c r="E16" s="191"/>
      <c r="F16" s="191"/>
      <c r="G16" s="191"/>
      <c r="H16" s="191"/>
      <c r="I16" s="191"/>
      <c r="J16" s="191"/>
      <c r="K16" s="259" t="s">
        <v>103</v>
      </c>
      <c r="L16" s="260"/>
      <c r="P16" s="1">
        <v>2</v>
      </c>
    </row>
    <row r="17" spans="1:16" ht="26.4" x14ac:dyDescent="0.25">
      <c r="A17" s="190"/>
      <c r="B17" s="117"/>
      <c r="C17" s="212" t="s">
        <v>15</v>
      </c>
      <c r="D17" s="117" t="s">
        <v>24</v>
      </c>
      <c r="E17" s="123" t="s">
        <v>0</v>
      </c>
      <c r="F17" s="124" t="s">
        <v>29</v>
      </c>
      <c r="G17" s="125" t="s">
        <v>0</v>
      </c>
      <c r="H17" s="126" t="s">
        <v>29</v>
      </c>
      <c r="I17" s="127" t="s">
        <v>0</v>
      </c>
      <c r="J17" s="128" t="s">
        <v>29</v>
      </c>
      <c r="K17" s="123" t="s">
        <v>0</v>
      </c>
      <c r="L17" s="124" t="s">
        <v>29</v>
      </c>
      <c r="P17" s="1">
        <v>3</v>
      </c>
    </row>
    <row r="18" spans="1:16" ht="30.6" customHeight="1" x14ac:dyDescent="0.25">
      <c r="A18" s="190"/>
      <c r="B18" s="118"/>
      <c r="C18" s="211" t="s">
        <v>0</v>
      </c>
      <c r="D18" s="118"/>
      <c r="E18" s="255" t="s">
        <v>71</v>
      </c>
      <c r="F18" s="256"/>
      <c r="G18" s="257" t="s">
        <v>72</v>
      </c>
      <c r="H18" s="256"/>
      <c r="I18" s="258" t="s">
        <v>73</v>
      </c>
      <c r="J18" s="256"/>
      <c r="K18" s="253" t="s">
        <v>30</v>
      </c>
      <c r="L18" s="254"/>
    </row>
    <row r="19" spans="1:16" ht="39" customHeight="1" x14ac:dyDescent="0.25">
      <c r="A19" s="190"/>
      <c r="B19" s="181"/>
      <c r="C19" s="182"/>
      <c r="D19" s="181" t="s">
        <v>25</v>
      </c>
      <c r="E19" s="119">
        <v>5.41</v>
      </c>
      <c r="F19" s="130">
        <f t="shared" ref="F19:F24" si="0">+E19/$C$22</f>
        <v>0.25046296296296294</v>
      </c>
      <c r="G19" s="121">
        <v>5.95</v>
      </c>
      <c r="H19" s="129">
        <f t="shared" ref="H19:H24" si="1">+G19/$C$22</f>
        <v>0.27546296296296297</v>
      </c>
      <c r="I19" s="186">
        <v>6.23</v>
      </c>
      <c r="J19" s="187">
        <f t="shared" ref="J19:J24" si="2">+I19/$C$22</f>
        <v>0.28842592592592592</v>
      </c>
      <c r="K19" s="133">
        <f>IF($C$22="","",($C$22*L19))</f>
        <v>5.95</v>
      </c>
      <c r="L19" s="138">
        <f>IF($C$22="","",IF($C$23=1,F19,IF($C$23=3,J19,(+H19))))</f>
        <v>0.27546296296296297</v>
      </c>
    </row>
    <row r="20" spans="1:16" ht="48.6" customHeight="1" x14ac:dyDescent="0.25">
      <c r="A20" s="190"/>
      <c r="B20" s="213"/>
      <c r="C20" s="183"/>
      <c r="D20" s="181" t="s">
        <v>26</v>
      </c>
      <c r="E20" s="119">
        <v>2.25</v>
      </c>
      <c r="F20" s="130">
        <f t="shared" si="0"/>
        <v>0.10416666666666666</v>
      </c>
      <c r="G20" s="121">
        <v>2.75</v>
      </c>
      <c r="H20" s="129">
        <f t="shared" si="1"/>
        <v>0.1273148148148148</v>
      </c>
      <c r="I20" s="186">
        <v>3.12</v>
      </c>
      <c r="J20" s="187">
        <f t="shared" si="2"/>
        <v>0.14444444444444443</v>
      </c>
      <c r="K20" s="133">
        <f>IF($C$22="","",($C$22*L20))</f>
        <v>2.75</v>
      </c>
      <c r="L20" s="138">
        <f t="shared" ref="L20:L24" si="3">IF($C$22="","",IF($C$23=1,F20,IF($C$23=3,J20,(+H20))))</f>
        <v>0.1273148148148148</v>
      </c>
    </row>
    <row r="21" spans="1:16" ht="42" customHeight="1" x14ac:dyDescent="0.25">
      <c r="A21" s="190"/>
      <c r="B21" s="214"/>
      <c r="C21" s="183"/>
      <c r="D21" s="181" t="s">
        <v>27</v>
      </c>
      <c r="E21" s="119">
        <v>3.1</v>
      </c>
      <c r="F21" s="130">
        <f t="shared" si="0"/>
        <v>0.14351851851851852</v>
      </c>
      <c r="G21" s="121">
        <v>3.56</v>
      </c>
      <c r="H21" s="129">
        <f t="shared" si="1"/>
        <v>0.1648148148148148</v>
      </c>
      <c r="I21" s="186">
        <v>4.28</v>
      </c>
      <c r="J21" s="187">
        <f t="shared" si="2"/>
        <v>0.19814814814814816</v>
      </c>
      <c r="K21" s="133">
        <f>IF($C$22="","",($C$22*L21))</f>
        <v>3.56</v>
      </c>
      <c r="L21" s="138">
        <f t="shared" si="3"/>
        <v>0.1648148148148148</v>
      </c>
    </row>
    <row r="22" spans="1:16" ht="52.8" x14ac:dyDescent="0.25">
      <c r="A22" s="190"/>
      <c r="B22" s="181" t="s">
        <v>131</v>
      </c>
      <c r="C22" s="215">
        <f>+J11</f>
        <v>21.6</v>
      </c>
      <c r="D22" s="181" t="s">
        <v>28</v>
      </c>
      <c r="E22" s="119">
        <v>3.36</v>
      </c>
      <c r="F22" s="130">
        <f t="shared" si="0"/>
        <v>0.15555555555555553</v>
      </c>
      <c r="G22" s="121">
        <v>2.54</v>
      </c>
      <c r="H22" s="129">
        <f t="shared" si="1"/>
        <v>0.11759259259259258</v>
      </c>
      <c r="I22" s="186">
        <v>3.18</v>
      </c>
      <c r="J22" s="187">
        <f t="shared" si="2"/>
        <v>0.14722222222222223</v>
      </c>
      <c r="K22" s="133">
        <f>IF($C$22="","",($C$22*L22))</f>
        <v>2.54</v>
      </c>
      <c r="L22" s="138">
        <f t="shared" si="3"/>
        <v>0.11759259259259258</v>
      </c>
    </row>
    <row r="23" spans="1:16" ht="54.6" customHeight="1" x14ac:dyDescent="0.25">
      <c r="A23" s="190"/>
      <c r="B23" s="181" t="s">
        <v>70</v>
      </c>
      <c r="C23" s="179">
        <v>2</v>
      </c>
      <c r="D23" s="181" t="s">
        <v>58</v>
      </c>
      <c r="E23" s="119">
        <v>1.53</v>
      </c>
      <c r="F23" s="130">
        <f t="shared" si="0"/>
        <v>7.0833333333333331E-2</v>
      </c>
      <c r="G23" s="121">
        <v>1.73</v>
      </c>
      <c r="H23" s="129">
        <f t="shared" si="1"/>
        <v>8.009259259259259E-2</v>
      </c>
      <c r="I23" s="186">
        <v>1.7</v>
      </c>
      <c r="J23" s="187">
        <f t="shared" si="2"/>
        <v>7.8703703703703692E-2</v>
      </c>
      <c r="K23" s="133">
        <f>IF($C$22="","",($C$22*L23))</f>
        <v>1.73</v>
      </c>
      <c r="L23" s="138">
        <f t="shared" si="3"/>
        <v>8.009259259259259E-2</v>
      </c>
    </row>
    <row r="24" spans="1:16" ht="24.6" customHeight="1" thickBot="1" x14ac:dyDescent="0.3">
      <c r="A24" s="190"/>
      <c r="B24" s="184"/>
      <c r="C24" s="185"/>
      <c r="D24" s="184" t="s">
        <v>1</v>
      </c>
      <c r="E24" s="120">
        <f>C22-E19-E20-E21-E22-E23</f>
        <v>5.950000000000002</v>
      </c>
      <c r="F24" s="131">
        <f t="shared" si="0"/>
        <v>0.27546296296296302</v>
      </c>
      <c r="G24" s="122">
        <f>C22-G19-G20-G21-G22-G23</f>
        <v>5.0700000000000021</v>
      </c>
      <c r="H24" s="132">
        <f t="shared" si="1"/>
        <v>0.2347222222222223</v>
      </c>
      <c r="I24" s="188">
        <f>+C22-I19-I20-I21-I22-I23</f>
        <v>3.089999999999999</v>
      </c>
      <c r="J24" s="189">
        <f t="shared" si="2"/>
        <v>0.14305555555555549</v>
      </c>
      <c r="K24" s="133">
        <f>IF(C22="","",(+C22-K19-K20-K21-K22-K23))</f>
        <v>5.0700000000000021</v>
      </c>
      <c r="L24" s="138">
        <f t="shared" si="3"/>
        <v>0.2347222222222223</v>
      </c>
    </row>
    <row r="25" spans="1:16" x14ac:dyDescent="0.25">
      <c r="A25" s="190"/>
      <c r="B25" s="191"/>
      <c r="C25" s="191"/>
      <c r="D25" s="191"/>
      <c r="E25" s="191"/>
      <c r="F25" s="191"/>
      <c r="G25" s="191"/>
      <c r="H25" s="191"/>
      <c r="I25" s="191"/>
      <c r="J25" s="191"/>
      <c r="K25" s="191"/>
      <c r="L25" s="192"/>
    </row>
    <row r="26" spans="1:16" ht="13.8" thickBot="1" x14ac:dyDescent="0.3">
      <c r="A26" s="194"/>
      <c r="B26" s="195"/>
      <c r="C26" s="195"/>
      <c r="D26" s="195"/>
      <c r="E26" s="195"/>
      <c r="F26" s="195"/>
      <c r="G26" s="195"/>
      <c r="H26" s="195"/>
      <c r="I26" s="195"/>
      <c r="J26" s="195"/>
      <c r="K26" s="195"/>
      <c r="L26" s="196"/>
    </row>
    <row r="27" spans="1:16" x14ac:dyDescent="0.25">
      <c r="A27" s="139"/>
      <c r="B27" s="140"/>
      <c r="C27" s="140"/>
      <c r="D27" s="140"/>
      <c r="E27" s="140"/>
      <c r="F27" s="140"/>
      <c r="G27" s="140"/>
      <c r="H27" s="140"/>
      <c r="I27" s="140"/>
      <c r="J27" s="140"/>
      <c r="K27" s="140"/>
      <c r="L27" s="141"/>
    </row>
    <row r="28" spans="1:16" ht="46.8" customHeight="1" x14ac:dyDescent="0.25">
      <c r="A28" s="145" t="s">
        <v>32</v>
      </c>
      <c r="B28" s="238" t="s">
        <v>124</v>
      </c>
      <c r="C28" s="239"/>
      <c r="D28" s="239"/>
      <c r="E28" s="239"/>
      <c r="F28" s="239"/>
      <c r="G28" s="239"/>
      <c r="H28" s="239"/>
      <c r="I28" s="239"/>
      <c r="J28" s="239"/>
      <c r="K28" s="239"/>
      <c r="L28" s="240"/>
    </row>
    <row r="29" spans="1:16" ht="13.8" thickBot="1" x14ac:dyDescent="0.3">
      <c r="A29" s="139"/>
      <c r="B29" s="140"/>
      <c r="C29" s="140"/>
      <c r="D29" s="140"/>
      <c r="E29" s="140"/>
      <c r="F29" s="140"/>
      <c r="G29" s="140"/>
      <c r="H29" s="140"/>
      <c r="I29" s="140"/>
      <c r="J29" s="140"/>
      <c r="K29" s="140"/>
      <c r="L29" s="141"/>
    </row>
    <row r="30" spans="1:16" ht="31.8" customHeight="1" thickBot="1" x14ac:dyDescent="0.3">
      <c r="A30" s="139"/>
      <c r="B30" s="140"/>
      <c r="C30" s="140"/>
      <c r="D30" s="140"/>
      <c r="E30" s="241" t="s">
        <v>31</v>
      </c>
      <c r="F30" s="242"/>
      <c r="G30" s="243" t="s">
        <v>33</v>
      </c>
      <c r="H30" s="244"/>
      <c r="I30" s="245" t="s">
        <v>34</v>
      </c>
      <c r="J30" s="246"/>
      <c r="K30" s="140"/>
      <c r="L30" s="141"/>
    </row>
    <row r="31" spans="1:16" ht="45.6" customHeight="1" x14ac:dyDescent="0.25">
      <c r="A31" s="139"/>
      <c r="B31" s="140"/>
      <c r="C31" s="140"/>
      <c r="D31" s="140"/>
      <c r="E31" s="247" t="s">
        <v>43</v>
      </c>
      <c r="F31" s="248"/>
      <c r="G31" s="249" t="s">
        <v>44</v>
      </c>
      <c r="H31" s="250"/>
      <c r="I31" s="251" t="s">
        <v>45</v>
      </c>
      <c r="J31" s="252"/>
      <c r="K31" s="140"/>
      <c r="L31" s="141"/>
    </row>
    <row r="32" spans="1:16" ht="45.6" customHeight="1" thickBot="1" x14ac:dyDescent="0.3">
      <c r="A32" s="139"/>
      <c r="B32" s="140"/>
      <c r="C32" s="140"/>
      <c r="D32" s="140"/>
      <c r="E32" s="231">
        <v>350</v>
      </c>
      <c r="F32" s="232"/>
      <c r="G32" s="233">
        <v>280</v>
      </c>
      <c r="H32" s="234"/>
      <c r="I32" s="235">
        <v>200</v>
      </c>
      <c r="J32" s="236"/>
      <c r="K32" s="140"/>
      <c r="L32" s="141"/>
    </row>
    <row r="33" spans="1:12" x14ac:dyDescent="0.25">
      <c r="A33" s="139"/>
      <c r="B33" s="140"/>
      <c r="C33" s="140"/>
      <c r="D33" s="140"/>
      <c r="E33" s="140"/>
      <c r="F33" s="140"/>
      <c r="G33" s="140"/>
      <c r="H33" s="140"/>
      <c r="I33" s="140"/>
      <c r="J33" s="140"/>
      <c r="K33" s="140"/>
      <c r="L33" s="141"/>
    </row>
    <row r="34" spans="1:12" ht="13.8" thickBot="1" x14ac:dyDescent="0.3">
      <c r="A34" s="142"/>
      <c r="B34" s="143"/>
      <c r="C34" s="143"/>
      <c r="D34" s="143"/>
      <c r="E34" s="143"/>
      <c r="F34" s="143"/>
      <c r="G34" s="143"/>
      <c r="H34" s="143"/>
      <c r="I34" s="143"/>
      <c r="J34" s="143"/>
      <c r="K34" s="143"/>
      <c r="L34" s="144"/>
    </row>
    <row r="35" spans="1:12" x14ac:dyDescent="0.25">
      <c r="A35" s="137"/>
      <c r="B35" s="137"/>
      <c r="C35" s="137"/>
      <c r="D35" s="137"/>
      <c r="E35" s="237"/>
      <c r="F35" s="237"/>
      <c r="G35" s="199"/>
      <c r="H35" s="199"/>
      <c r="I35" s="237"/>
      <c r="J35" s="237"/>
      <c r="K35" s="137"/>
      <c r="L35" s="137"/>
    </row>
    <row r="36" spans="1:12" x14ac:dyDescent="0.25">
      <c r="A36" s="137"/>
      <c r="B36" s="137"/>
      <c r="C36" s="137"/>
      <c r="D36" s="137"/>
      <c r="E36" s="137"/>
      <c r="F36" s="137"/>
      <c r="G36" s="137"/>
      <c r="H36" s="137"/>
      <c r="I36" s="137"/>
      <c r="J36" s="137"/>
      <c r="K36" s="137"/>
      <c r="L36" s="137"/>
    </row>
    <row r="37" spans="1:12" ht="13.5" customHeight="1" x14ac:dyDescent="0.25">
      <c r="A37" s="137"/>
      <c r="B37" s="137"/>
      <c r="C37" s="137"/>
      <c r="D37" s="137"/>
      <c r="E37" s="137"/>
      <c r="F37" s="137"/>
      <c r="G37" s="137"/>
      <c r="H37" s="137"/>
      <c r="I37" s="137"/>
      <c r="J37" s="137"/>
      <c r="K37" s="137"/>
      <c r="L37" s="137"/>
    </row>
    <row r="38" spans="1:12" x14ac:dyDescent="0.25">
      <c r="A38" s="137"/>
      <c r="B38" s="137"/>
      <c r="C38" s="137"/>
      <c r="D38" s="137"/>
      <c r="E38" s="137"/>
      <c r="F38" s="137"/>
      <c r="G38" s="137"/>
      <c r="H38" s="137"/>
      <c r="I38" s="137"/>
      <c r="J38" s="137"/>
      <c r="K38" s="137"/>
      <c r="L38" s="137"/>
    </row>
  </sheetData>
  <sheetProtection sheet="1" objects="1" scenarios="1"/>
  <mergeCells count="29">
    <mergeCell ref="B6:L6"/>
    <mergeCell ref="B9:C9"/>
    <mergeCell ref="B11:C11"/>
    <mergeCell ref="F11:I11"/>
    <mergeCell ref="K11:L11"/>
    <mergeCell ref="A1:L1"/>
    <mergeCell ref="A2:L2"/>
    <mergeCell ref="A4:E4"/>
    <mergeCell ref="F4:H4"/>
    <mergeCell ref="A3:I3"/>
    <mergeCell ref="J4:L4"/>
    <mergeCell ref="B15:L15"/>
    <mergeCell ref="K18:L18"/>
    <mergeCell ref="E18:F18"/>
    <mergeCell ref="G18:H18"/>
    <mergeCell ref="I18:J18"/>
    <mergeCell ref="K16:L16"/>
    <mergeCell ref="B28:L28"/>
    <mergeCell ref="E30:F30"/>
    <mergeCell ref="G30:H30"/>
    <mergeCell ref="I30:J30"/>
    <mergeCell ref="E31:F31"/>
    <mergeCell ref="G31:H31"/>
    <mergeCell ref="I31:J31"/>
    <mergeCell ref="E32:F32"/>
    <mergeCell ref="G32:H32"/>
    <mergeCell ref="I32:J32"/>
    <mergeCell ref="I35:J35"/>
    <mergeCell ref="E35:F35"/>
  </mergeCells>
  <phoneticPr fontId="8" type="noConversion"/>
  <conditionalFormatting sqref="K19">
    <cfRule type="expression" dxfId="8" priority="15">
      <formula>$C$23=1</formula>
    </cfRule>
    <cfRule type="expression" dxfId="7" priority="16">
      <formula>$C$23=2</formula>
    </cfRule>
    <cfRule type="expression" dxfId="6" priority="17">
      <formula>$C$23=3</formula>
    </cfRule>
  </conditionalFormatting>
  <conditionalFormatting sqref="K20:K24">
    <cfRule type="expression" dxfId="5" priority="12">
      <formula>$C$23=1</formula>
    </cfRule>
    <cfRule type="expression" dxfId="4" priority="13">
      <formula>$C$23=2</formula>
    </cfRule>
    <cfRule type="expression" dxfId="3" priority="14">
      <formula>$C$23=3</formula>
    </cfRule>
  </conditionalFormatting>
  <conditionalFormatting sqref="L19:L24">
    <cfRule type="expression" dxfId="2" priority="9">
      <formula>$C$23=1</formula>
    </cfRule>
    <cfRule type="expression" dxfId="1" priority="10">
      <formula>$C$23=2</formula>
    </cfRule>
    <cfRule type="expression" dxfId="0" priority="11">
      <formula>$C$23=3</formula>
    </cfRule>
  </conditionalFormatting>
  <dataValidations count="1">
    <dataValidation type="list" allowBlank="1" showInputMessage="1" showErrorMessage="1" error="CHOISIR LA CATEGORIE 1 2 ou 3" prompt="CHOISIR LA CATEGORIE 1,2 ou 3" sqref="C23">
      <formula1>$P$15:$P$17</formula1>
    </dataValidation>
  </dataValidations>
  <pageMargins left="0.70866141732283472" right="0.70866141732283472" top="0.35433070866141736" bottom="0.35433070866141736" header="0.31496062992125984" footer="0.31496062992125984"/>
  <pageSetup scale="5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43"/>
  <sheetViews>
    <sheetView showGridLines="0" zoomScaleNormal="100" workbookViewId="0">
      <selection activeCell="D4" sqref="D4"/>
    </sheetView>
  </sheetViews>
  <sheetFormatPr baseColWidth="10" defaultRowHeight="13.2" x14ac:dyDescent="0.25"/>
  <cols>
    <col min="1" max="1" width="34.5546875" style="5" customWidth="1"/>
    <col min="2" max="2" width="17.33203125" style="5" customWidth="1"/>
    <col min="3" max="4" width="10.6640625" style="5" customWidth="1"/>
    <col min="5" max="5" width="11.5546875" style="5" customWidth="1"/>
    <col min="6" max="6" width="19.109375" style="5" customWidth="1"/>
    <col min="7" max="7" width="18.5546875" style="5" customWidth="1"/>
    <col min="8" max="8" width="10.6640625" style="5" customWidth="1"/>
    <col min="9" max="9" width="13.44140625" style="5" customWidth="1"/>
    <col min="10" max="10" width="15" style="5" customWidth="1"/>
    <col min="11" max="11" width="15.44140625" style="5" customWidth="1"/>
    <col min="12" max="12" width="15.33203125" style="5" customWidth="1"/>
    <col min="13" max="13" width="12.88671875" style="5" customWidth="1"/>
    <col min="14" max="14" width="1.88671875" style="5" customWidth="1"/>
    <col min="15" max="15" width="14.33203125" style="5" customWidth="1"/>
    <col min="16" max="16" width="3.33203125" style="5" customWidth="1"/>
    <col min="17" max="17" width="26.44140625" style="5" customWidth="1"/>
    <col min="18" max="18" width="12.6640625" style="5" customWidth="1"/>
    <col min="19" max="19" width="16" style="5" customWidth="1"/>
    <col min="20" max="20" width="13.5546875" style="5" customWidth="1"/>
    <col min="21" max="16384" width="11.5546875" style="5"/>
  </cols>
  <sheetData>
    <row r="1" spans="1:22" ht="81" customHeight="1" thickBot="1" x14ac:dyDescent="0.3">
      <c r="A1" s="322" t="s">
        <v>68</v>
      </c>
      <c r="B1" s="323"/>
      <c r="C1" s="323"/>
      <c r="D1" s="323"/>
      <c r="E1" s="323"/>
      <c r="F1" s="323"/>
      <c r="G1" s="323"/>
      <c r="H1" s="323"/>
      <c r="I1" s="323"/>
      <c r="J1" s="323"/>
      <c r="K1" s="323"/>
      <c r="L1" s="323"/>
      <c r="M1" s="323"/>
      <c r="N1" s="323"/>
      <c r="O1" s="323"/>
      <c r="P1" s="323"/>
      <c r="Q1" s="323"/>
      <c r="R1" s="323"/>
      <c r="S1" s="323"/>
      <c r="T1" s="323"/>
    </row>
    <row r="2" spans="1:22" ht="79.8" customHeight="1" x14ac:dyDescent="0.25">
      <c r="A2" s="324" t="s">
        <v>134</v>
      </c>
      <c r="B2" s="325"/>
      <c r="C2" s="325"/>
      <c r="D2" s="325"/>
      <c r="E2" s="325"/>
      <c r="F2" s="325"/>
      <c r="G2" s="325"/>
      <c r="H2" s="325"/>
      <c r="I2" s="325"/>
      <c r="J2" s="325"/>
      <c r="K2" s="325"/>
      <c r="L2" s="325"/>
      <c r="M2" s="325"/>
      <c r="N2" s="325"/>
      <c r="O2" s="2"/>
      <c r="P2" s="3"/>
      <c r="Q2" s="3"/>
      <c r="R2" s="3"/>
      <c r="S2" s="3"/>
      <c r="T2" s="4"/>
    </row>
    <row r="3" spans="1:22" ht="12" customHeight="1" thickBot="1" x14ac:dyDescent="0.3">
      <c r="A3" s="8"/>
      <c r="B3" s="6"/>
      <c r="C3" s="6"/>
      <c r="D3" s="6"/>
      <c r="E3" s="6"/>
      <c r="F3" s="6"/>
      <c r="G3" s="6"/>
      <c r="H3" s="6"/>
      <c r="I3" s="6"/>
      <c r="J3" s="6"/>
      <c r="K3" s="6"/>
      <c r="L3" s="6"/>
      <c r="M3" s="6"/>
      <c r="N3" s="6"/>
      <c r="O3" s="6"/>
      <c r="P3" s="6"/>
      <c r="Q3" s="6"/>
      <c r="R3" s="6"/>
      <c r="S3" s="6"/>
      <c r="T3" s="7"/>
    </row>
    <row r="4" spans="1:22" ht="160.19999999999999" customHeight="1" thickBot="1" x14ac:dyDescent="0.3">
      <c r="A4" s="53" t="s">
        <v>48</v>
      </c>
      <c r="B4" s="54" t="s">
        <v>59</v>
      </c>
      <c r="C4" s="55" t="s">
        <v>4</v>
      </c>
      <c r="D4" s="56" t="s">
        <v>82</v>
      </c>
      <c r="E4" s="56" t="s">
        <v>85</v>
      </c>
      <c r="F4" s="56" t="s">
        <v>83</v>
      </c>
      <c r="G4" s="57" t="s">
        <v>84</v>
      </c>
      <c r="H4" s="338" t="s">
        <v>101</v>
      </c>
      <c r="I4" s="339"/>
      <c r="J4" s="78" t="s">
        <v>109</v>
      </c>
      <c r="K4" s="78" t="s">
        <v>110</v>
      </c>
      <c r="L4" s="87" t="s">
        <v>127</v>
      </c>
      <c r="M4" s="87" t="s">
        <v>106</v>
      </c>
      <c r="N4" s="6"/>
      <c r="O4" s="146" t="s">
        <v>107</v>
      </c>
      <c r="P4" s="6"/>
      <c r="Q4" s="332" t="s">
        <v>113</v>
      </c>
      <c r="R4" s="333"/>
      <c r="S4" s="333"/>
      <c r="T4" s="334"/>
      <c r="U4" s="81"/>
      <c r="V4" s="6"/>
    </row>
    <row r="5" spans="1:22" ht="18" thickBot="1" x14ac:dyDescent="0.35">
      <c r="A5" s="58" t="s">
        <v>9</v>
      </c>
      <c r="B5" s="52">
        <v>21.6</v>
      </c>
      <c r="C5" s="9" t="s">
        <v>0</v>
      </c>
      <c r="D5" s="64">
        <v>100</v>
      </c>
      <c r="E5" s="65">
        <v>40</v>
      </c>
      <c r="F5" s="147">
        <v>1</v>
      </c>
      <c r="G5" s="151">
        <v>280</v>
      </c>
      <c r="H5" s="326">
        <f>G5/B5</f>
        <v>12.962962962962962</v>
      </c>
      <c r="I5" s="327"/>
      <c r="J5" s="86">
        <f>+G33-(J33+K33+L33+M33)</f>
        <v>86.956550000000107</v>
      </c>
      <c r="K5" s="86">
        <f>(+G33-K33-L33-M33)/B5</f>
        <v>16.988729166666669</v>
      </c>
      <c r="L5" s="152">
        <v>86.96</v>
      </c>
      <c r="M5" s="150">
        <f>(+G5+L5)/B5</f>
        <v>16.988888888888887</v>
      </c>
      <c r="N5" s="10"/>
      <c r="O5" s="149">
        <f>G5+L5</f>
        <v>366.96</v>
      </c>
      <c r="P5" s="6"/>
      <c r="Q5" s="79"/>
      <c r="R5" s="80"/>
      <c r="S5" s="80"/>
      <c r="T5" s="82"/>
      <c r="U5" s="81"/>
      <c r="V5" s="6"/>
    </row>
    <row r="6" spans="1:22" s="17" customFormat="1" ht="18" thickBot="1" x14ac:dyDescent="0.3">
      <c r="A6" s="11"/>
      <c r="B6" s="12"/>
      <c r="C6" s="13"/>
      <c r="D6" s="13"/>
      <c r="E6" s="13"/>
      <c r="F6" s="14"/>
      <c r="G6" s="15"/>
      <c r="H6" s="15"/>
      <c r="I6" s="16"/>
      <c r="J6" s="16"/>
      <c r="K6" s="16"/>
      <c r="L6" s="16"/>
      <c r="M6" s="16"/>
      <c r="N6" s="16"/>
      <c r="O6" s="16"/>
      <c r="P6" s="16"/>
      <c r="Q6" s="340">
        <f>+(M5-H5)/M5</f>
        <v>0.23697405711794201</v>
      </c>
      <c r="R6" s="340"/>
      <c r="S6" s="340"/>
      <c r="T6" s="340"/>
      <c r="U6" s="16"/>
      <c r="V6" s="16"/>
    </row>
    <row r="7" spans="1:22" ht="143.25" customHeight="1" thickTop="1" x14ac:dyDescent="0.25">
      <c r="A7" s="49" t="s">
        <v>114</v>
      </c>
      <c r="B7" s="50" t="s">
        <v>96</v>
      </c>
      <c r="C7" s="51" t="s">
        <v>60</v>
      </c>
      <c r="D7" s="51" t="s">
        <v>49</v>
      </c>
      <c r="E7" s="51" t="s">
        <v>97</v>
      </c>
      <c r="F7" s="51" t="s">
        <v>61</v>
      </c>
      <c r="G7" s="51" t="s">
        <v>62</v>
      </c>
      <c r="H7" s="73" t="s">
        <v>130</v>
      </c>
      <c r="I7" s="73" t="s">
        <v>128</v>
      </c>
      <c r="J7" s="73" t="s">
        <v>108</v>
      </c>
      <c r="K7" s="51" t="s">
        <v>76</v>
      </c>
      <c r="L7" s="51" t="s">
        <v>78</v>
      </c>
      <c r="M7" s="51" t="s">
        <v>102</v>
      </c>
      <c r="N7" s="18"/>
      <c r="O7" s="77" t="s">
        <v>115</v>
      </c>
      <c r="P7" s="6"/>
      <c r="Q7" s="83" t="s">
        <v>116</v>
      </c>
      <c r="R7" s="83" t="s">
        <v>117</v>
      </c>
      <c r="S7" s="84" t="s">
        <v>118</v>
      </c>
      <c r="T7" s="84"/>
      <c r="U7" s="6"/>
      <c r="V7" s="6"/>
    </row>
    <row r="8" spans="1:22" x14ac:dyDescent="0.25">
      <c r="A8" s="59" t="s">
        <v>10</v>
      </c>
      <c r="B8" s="60">
        <v>5.95</v>
      </c>
      <c r="C8" s="19">
        <f>IF($B$5="","",IF(B8="","",(B8/$B$5)))</f>
        <v>0.27546296296296297</v>
      </c>
      <c r="D8" s="61">
        <v>1.5</v>
      </c>
      <c r="E8" s="164">
        <f>IF(D8="","",ROUND((B8/D8),0))</f>
        <v>4</v>
      </c>
      <c r="F8" s="62">
        <v>33.950000000000003</v>
      </c>
      <c r="G8" s="70">
        <f>IF(B8&gt;0,IF(F8&gt;0,F8*B8,""),"")</f>
        <v>202.00250000000003</v>
      </c>
      <c r="H8" s="74">
        <f>IF(F8&gt;0,IF(B8&gt;0,$F$39*F8,""),"")</f>
        <v>1.3733701740338236</v>
      </c>
      <c r="I8" s="75">
        <f t="shared" ref="I8:I31" si="0">IF(F8&gt;0,IF(B8&gt;0,$H$5*H8,""),"")</f>
        <v>17.802946700438451</v>
      </c>
      <c r="J8" s="75">
        <f>IF($F8&gt;0,IF($B8&gt;0,B8*I8,""),"")</f>
        <v>105.92753286760879</v>
      </c>
      <c r="K8" s="71">
        <f>IF(B8="","",((+C8/$C$33*100))*$D$5/100)</f>
        <v>35.997338011978947</v>
      </c>
      <c r="L8" s="72">
        <f>IF(B8="","",((+C8/$C$33*100))*$E$5/100)</f>
        <v>14.398935204791577</v>
      </c>
      <c r="M8" s="70">
        <f>IF(B8="","",(E8*$F$5))</f>
        <v>4</v>
      </c>
      <c r="N8" s="19"/>
      <c r="O8" s="19">
        <f>IF($F8&gt;0,IF($B8&gt;0,(($G8-J8-K8-$L8-$M8)/$G8),""),"")</f>
        <v>0.20632761433952901</v>
      </c>
      <c r="P8" s="21"/>
      <c r="Q8" s="88">
        <f>IF(ISNUMBER(J8)=TRUE,IF(ISNUMBER($Q$6)=TRUE,(((J8))/(1-$Q$6)+K8+L8+M8)/B8,""),"")</f>
        <v>32.474264082709162</v>
      </c>
      <c r="R8" s="94">
        <f>IF(ISNUMBER(Q8)=TRUE,B8*Q8,"")</f>
        <v>193.22187129211952</v>
      </c>
      <c r="S8" s="95">
        <f>IF(ISNUMBER($R8)=TRUE,($R8-($J8+K8+L8+M8))/$R8,"")</f>
        <v>0.17026056619648292</v>
      </c>
      <c r="T8" s="89"/>
    </row>
    <row r="9" spans="1:22" x14ac:dyDescent="0.25">
      <c r="A9" s="59" t="s">
        <v>11</v>
      </c>
      <c r="B9" s="60">
        <v>3.56</v>
      </c>
      <c r="C9" s="19">
        <f t="shared" ref="C9:C31" si="1">IF($B$5="","",IF(B9="","",(B9/$B$5)))</f>
        <v>0.1648148148148148</v>
      </c>
      <c r="D9" s="61">
        <v>0.45</v>
      </c>
      <c r="E9" s="164">
        <f t="shared" ref="E9:E31" si="2">IF(D9="","",ROUND((B9/D9),0))</f>
        <v>8</v>
      </c>
      <c r="F9" s="62">
        <v>29.95</v>
      </c>
      <c r="G9" s="70">
        <f t="shared" ref="G9:G31" si="3">IF(B9&gt;0,IF(F9&gt;0,F9*B9,""),"")</f>
        <v>106.622</v>
      </c>
      <c r="H9" s="74">
        <f t="shared" ref="H9:H31" si="4">IF(F9&gt;0,IF(B9&gt;0,$F$39*F9,""),"")</f>
        <v>1.2115592551491314</v>
      </c>
      <c r="I9" s="75">
        <f t="shared" si="0"/>
        <v>15.705397751933184</v>
      </c>
      <c r="J9" s="75">
        <f>IF(F9&gt;0,IF(B9&gt;0,B9*I9,""),"")</f>
        <v>55.911215996882135</v>
      </c>
      <c r="K9" s="71">
        <f t="shared" ref="K9:K31" si="5">IF(B9="","",((+C9/$C$33*100))*$D$5/100)</f>
        <v>21.537903079436141</v>
      </c>
      <c r="L9" s="71">
        <f t="shared" ref="L9:L31" si="6">IF(B9="","",((+C9/$C$33*100))*$E$5/100)</f>
        <v>8.6151612317744579</v>
      </c>
      <c r="M9" s="70">
        <f t="shared" ref="M9:M31" si="7">IF(B9="","",(E9*$F$5))</f>
        <v>8</v>
      </c>
      <c r="N9" s="19"/>
      <c r="O9" s="19">
        <f t="shared" ref="O9:O31" si="8">IF($F9&gt;0,IF($B9&gt;0,(($G9-J9-K9-$L9-$M9)/$G9),""),"")</f>
        <v>0.11777794162468595</v>
      </c>
      <c r="P9" s="21"/>
      <c r="Q9" s="88">
        <f>IF(ISNUMBER(J9)=TRUE,IF(ISNUMBER($Q$6)=TRUE,(((J9))/(1-$Q$6)+K9+L9+M9)/B9,""),"")</f>
        <v>31.300198464441046</v>
      </c>
      <c r="R9" s="94">
        <f t="shared" ref="R9:R13" si="9">IF(ISNUMBER(Q9)=TRUE,B9*Q9,"")</f>
        <v>111.42870653341012</v>
      </c>
      <c r="S9" s="95">
        <f t="shared" ref="S9:S31" si="10">IF(ISNUMBER($R9)=TRUE,($R9-($J9+K9+L9+M9))/$R9,"")</f>
        <v>0.15583440538377719</v>
      </c>
      <c r="T9" s="89"/>
    </row>
    <row r="10" spans="1:22" x14ac:dyDescent="0.25">
      <c r="A10" s="59" t="s">
        <v>12</v>
      </c>
      <c r="B10" s="60">
        <v>2.7490000000000001</v>
      </c>
      <c r="C10" s="19">
        <f t="shared" si="1"/>
        <v>0.1272685185185185</v>
      </c>
      <c r="D10" s="61">
        <v>0.4</v>
      </c>
      <c r="E10" s="164">
        <f t="shared" si="2"/>
        <v>7</v>
      </c>
      <c r="F10" s="62">
        <v>46.95</v>
      </c>
      <c r="G10" s="70">
        <f t="shared" si="3"/>
        <v>129.06555</v>
      </c>
      <c r="H10" s="74">
        <f t="shared" si="4"/>
        <v>1.8992556604090727</v>
      </c>
      <c r="I10" s="75">
        <f t="shared" si="0"/>
        <v>24.619980783080571</v>
      </c>
      <c r="J10" s="75">
        <f>IF(F10&gt;0,IF(B10&gt;0,B10*I10,""),"")</f>
        <v>67.680327172688493</v>
      </c>
      <c r="K10" s="71">
        <f t="shared" si="5"/>
        <v>16.631375158811785</v>
      </c>
      <c r="L10" s="72">
        <f t="shared" si="6"/>
        <v>6.6525500635247132</v>
      </c>
      <c r="M10" s="70">
        <f t="shared" si="7"/>
        <v>7</v>
      </c>
      <c r="N10" s="19"/>
      <c r="O10" s="19">
        <f t="shared" si="8"/>
        <v>0.24097288242273021</v>
      </c>
      <c r="P10" s="21"/>
      <c r="Q10" s="88">
        <f>IF(ISNUMBER(J10)=TRUE,IF(ISNUMBER($Q$6)=TRUE,(((J10))/(1-$Q$6)+K10+L10+M10)/B10,""),"")</f>
        <v>43.282585773455267</v>
      </c>
      <c r="R10" s="94">
        <f t="shared" si="9"/>
        <v>118.98382829122853</v>
      </c>
      <c r="S10" s="95">
        <f t="shared" si="10"/>
        <v>0.17665909895549317</v>
      </c>
      <c r="T10" s="89"/>
    </row>
    <row r="11" spans="1:22" x14ac:dyDescent="0.25">
      <c r="A11" s="59" t="s">
        <v>13</v>
      </c>
      <c r="B11" s="60">
        <v>2.54</v>
      </c>
      <c r="C11" s="19">
        <f t="shared" si="1"/>
        <v>0.11759259259259258</v>
      </c>
      <c r="D11" s="61">
        <v>0.5</v>
      </c>
      <c r="E11" s="164">
        <f t="shared" si="2"/>
        <v>5</v>
      </c>
      <c r="F11" s="62">
        <v>22.95</v>
      </c>
      <c r="G11" s="70">
        <f t="shared" si="3"/>
        <v>58.292999999999999</v>
      </c>
      <c r="H11" s="74">
        <f t="shared" si="4"/>
        <v>0.92839014710092038</v>
      </c>
      <c r="I11" s="75">
        <f t="shared" si="0"/>
        <v>12.034687092048967</v>
      </c>
      <c r="J11" s="75">
        <f>IF(F11&gt;0,IF(B11&gt;0,B11*I11,""),"")</f>
        <v>30.568105213804376</v>
      </c>
      <c r="K11" s="71">
        <f t="shared" si="5"/>
        <v>15.366930848811183</v>
      </c>
      <c r="L11" s="72">
        <f t="shared" si="6"/>
        <v>6.1467723395244729</v>
      </c>
      <c r="M11" s="70">
        <f t="shared" si="7"/>
        <v>5</v>
      </c>
      <c r="N11" s="19"/>
      <c r="O11" s="19">
        <f t="shared" si="8"/>
        <v>2.0777650796149918E-2</v>
      </c>
      <c r="P11" s="21"/>
      <c r="Q11" s="88">
        <f>IF(ISNUMBER(J11)=TRUE,IF(ISNUMBER($Q$6)=TRUE,(((J11))/(1-$Q$6)+K11+L11+M11)/B11,""),"")</f>
        <v>26.210782876816136</v>
      </c>
      <c r="R11" s="94">
        <f t="shared" si="9"/>
        <v>66.57538850711299</v>
      </c>
      <c r="S11" s="95">
        <f t="shared" si="10"/>
        <v>0.14259894411218721</v>
      </c>
      <c r="T11" s="89"/>
    </row>
    <row r="12" spans="1:22" x14ac:dyDescent="0.25">
      <c r="A12" s="59" t="s">
        <v>35</v>
      </c>
      <c r="B12" s="60">
        <v>1.73</v>
      </c>
      <c r="C12" s="19">
        <f t="shared" si="1"/>
        <v>8.009259259259259E-2</v>
      </c>
      <c r="D12" s="61">
        <v>0.5</v>
      </c>
      <c r="E12" s="164">
        <f t="shared" si="2"/>
        <v>3</v>
      </c>
      <c r="F12" s="62">
        <v>21.95</v>
      </c>
      <c r="G12" s="70">
        <f t="shared" si="3"/>
        <v>37.973500000000001</v>
      </c>
      <c r="H12" s="74">
        <f t="shared" si="4"/>
        <v>0.88793741737974741</v>
      </c>
      <c r="I12" s="75">
        <f t="shared" si="0"/>
        <v>11.51029985492265</v>
      </c>
      <c r="J12" s="75">
        <f t="shared" ref="J12:J31" si="11">IF(F12&gt;0,IF(B12&gt;0,B12*I12,""),"")</f>
        <v>19.912818749016186</v>
      </c>
      <c r="K12" s="71">
        <f t="shared" si="5"/>
        <v>10.466452900961945</v>
      </c>
      <c r="L12" s="72">
        <f t="shared" si="6"/>
        <v>4.1865811603847787</v>
      </c>
      <c r="M12" s="70">
        <f t="shared" si="7"/>
        <v>3</v>
      </c>
      <c r="N12" s="19"/>
      <c r="O12" s="19">
        <f t="shared" si="8"/>
        <v>1.0735043902645047E-2</v>
      </c>
      <c r="P12" s="21"/>
      <c r="Q12" s="88">
        <f t="shared" ref="Q12:Q31" si="12">IF(ISNUMBER(J12)=TRUE,IF(ISNUMBER($Q$6)=TRUE,(((J12))/(1-$Q$6)+K12+L12+M12)/B12,""),"")</f>
        <v>25.289136055565773</v>
      </c>
      <c r="R12" s="94">
        <f t="shared" si="9"/>
        <v>43.75020537612879</v>
      </c>
      <c r="S12" s="95">
        <f t="shared" si="10"/>
        <v>0.14135596650570748</v>
      </c>
      <c r="T12" s="89"/>
    </row>
    <row r="13" spans="1:22" x14ac:dyDescent="0.25">
      <c r="A13" s="59"/>
      <c r="B13" s="60"/>
      <c r="C13" s="19" t="str">
        <f t="shared" si="1"/>
        <v/>
      </c>
      <c r="D13" s="61"/>
      <c r="E13" s="164" t="str">
        <f t="shared" si="2"/>
        <v/>
      </c>
      <c r="F13" s="62"/>
      <c r="G13" s="70" t="str">
        <f t="shared" si="3"/>
        <v/>
      </c>
      <c r="H13" s="74" t="str">
        <f t="shared" si="4"/>
        <v/>
      </c>
      <c r="I13" s="75" t="str">
        <f t="shared" si="0"/>
        <v/>
      </c>
      <c r="J13" s="75" t="str">
        <f t="shared" si="11"/>
        <v/>
      </c>
      <c r="K13" s="71" t="str">
        <f t="shared" si="5"/>
        <v/>
      </c>
      <c r="L13" s="72" t="str">
        <f t="shared" si="6"/>
        <v/>
      </c>
      <c r="M13" s="70" t="str">
        <f t="shared" si="7"/>
        <v/>
      </c>
      <c r="N13" s="19"/>
      <c r="O13" s="19" t="str">
        <f t="shared" si="8"/>
        <v/>
      </c>
      <c r="P13" s="21"/>
      <c r="Q13" s="88" t="str">
        <f t="shared" si="12"/>
        <v/>
      </c>
      <c r="R13" s="94" t="str">
        <f t="shared" si="9"/>
        <v/>
      </c>
      <c r="S13" s="95" t="str">
        <f t="shared" si="10"/>
        <v/>
      </c>
      <c r="T13" s="89"/>
    </row>
    <row r="14" spans="1:22" x14ac:dyDescent="0.25">
      <c r="A14" s="59"/>
      <c r="B14" s="60"/>
      <c r="C14" s="19" t="str">
        <f t="shared" si="1"/>
        <v/>
      </c>
      <c r="D14" s="61"/>
      <c r="E14" s="20" t="str">
        <f t="shared" si="2"/>
        <v/>
      </c>
      <c r="F14" s="62"/>
      <c r="G14" s="70" t="str">
        <f t="shared" si="3"/>
        <v/>
      </c>
      <c r="H14" s="74" t="str">
        <f t="shared" si="4"/>
        <v/>
      </c>
      <c r="I14" s="75" t="str">
        <f t="shared" si="0"/>
        <v/>
      </c>
      <c r="J14" s="75" t="str">
        <f t="shared" si="11"/>
        <v/>
      </c>
      <c r="K14" s="71" t="str">
        <f t="shared" si="5"/>
        <v/>
      </c>
      <c r="L14" s="72" t="str">
        <f t="shared" si="6"/>
        <v/>
      </c>
      <c r="M14" s="70" t="str">
        <f t="shared" si="7"/>
        <v/>
      </c>
      <c r="N14" s="19"/>
      <c r="O14" s="19" t="str">
        <f t="shared" si="8"/>
        <v/>
      </c>
      <c r="P14" s="6"/>
      <c r="Q14" s="88" t="str">
        <f t="shared" si="12"/>
        <v/>
      </c>
      <c r="R14" s="94" t="str">
        <f t="shared" ref="R14:R31" si="13">IF(ISNUMBER(Q14)=TRUE,B14*Q14,"")</f>
        <v/>
      </c>
      <c r="S14" s="95" t="str">
        <f t="shared" si="10"/>
        <v/>
      </c>
      <c r="T14" s="89"/>
    </row>
    <row r="15" spans="1:22" x14ac:dyDescent="0.25">
      <c r="A15" s="59"/>
      <c r="B15" s="60"/>
      <c r="C15" s="19" t="str">
        <f t="shared" si="1"/>
        <v/>
      </c>
      <c r="D15" s="61"/>
      <c r="E15" s="20" t="str">
        <f t="shared" si="2"/>
        <v/>
      </c>
      <c r="F15" s="62"/>
      <c r="G15" s="70" t="str">
        <f t="shared" si="3"/>
        <v/>
      </c>
      <c r="H15" s="74" t="str">
        <f t="shared" si="4"/>
        <v/>
      </c>
      <c r="I15" s="75" t="str">
        <f t="shared" si="0"/>
        <v/>
      </c>
      <c r="J15" s="75" t="str">
        <f t="shared" si="11"/>
        <v/>
      </c>
      <c r="K15" s="71" t="str">
        <f t="shared" si="5"/>
        <v/>
      </c>
      <c r="L15" s="72" t="str">
        <f t="shared" si="6"/>
        <v/>
      </c>
      <c r="M15" s="70" t="str">
        <f t="shared" si="7"/>
        <v/>
      </c>
      <c r="N15" s="19"/>
      <c r="O15" s="19" t="str">
        <f t="shared" si="8"/>
        <v/>
      </c>
      <c r="P15" s="6"/>
      <c r="Q15" s="88" t="str">
        <f t="shared" si="12"/>
        <v/>
      </c>
      <c r="R15" s="94" t="str">
        <f t="shared" si="13"/>
        <v/>
      </c>
      <c r="S15" s="95" t="str">
        <f t="shared" si="10"/>
        <v/>
      </c>
      <c r="T15" s="89"/>
    </row>
    <row r="16" spans="1:22" x14ac:dyDescent="0.25">
      <c r="A16" s="59"/>
      <c r="B16" s="60"/>
      <c r="C16" s="19" t="str">
        <f t="shared" si="1"/>
        <v/>
      </c>
      <c r="D16" s="61"/>
      <c r="E16" s="20" t="str">
        <f t="shared" si="2"/>
        <v/>
      </c>
      <c r="F16" s="62"/>
      <c r="G16" s="70" t="str">
        <f t="shared" si="3"/>
        <v/>
      </c>
      <c r="H16" s="74" t="str">
        <f t="shared" si="4"/>
        <v/>
      </c>
      <c r="I16" s="75" t="str">
        <f t="shared" si="0"/>
        <v/>
      </c>
      <c r="J16" s="75" t="str">
        <f t="shared" si="11"/>
        <v/>
      </c>
      <c r="K16" s="71" t="str">
        <f t="shared" si="5"/>
        <v/>
      </c>
      <c r="L16" s="72" t="str">
        <f t="shared" si="6"/>
        <v/>
      </c>
      <c r="M16" s="70" t="str">
        <f t="shared" si="7"/>
        <v/>
      </c>
      <c r="N16" s="19"/>
      <c r="O16" s="19" t="str">
        <f t="shared" si="8"/>
        <v/>
      </c>
      <c r="P16" s="6"/>
      <c r="Q16" s="88" t="str">
        <f t="shared" si="12"/>
        <v/>
      </c>
      <c r="R16" s="94" t="str">
        <f t="shared" si="13"/>
        <v/>
      </c>
      <c r="S16" s="95" t="str">
        <f t="shared" si="10"/>
        <v/>
      </c>
      <c r="T16" s="89"/>
    </row>
    <row r="17" spans="1:20" x14ac:dyDescent="0.25">
      <c r="A17" s="59"/>
      <c r="B17" s="60"/>
      <c r="C17" s="19" t="str">
        <f t="shared" si="1"/>
        <v/>
      </c>
      <c r="D17" s="61"/>
      <c r="E17" s="20" t="str">
        <f t="shared" si="2"/>
        <v/>
      </c>
      <c r="F17" s="62"/>
      <c r="G17" s="70" t="str">
        <f t="shared" si="3"/>
        <v/>
      </c>
      <c r="H17" s="74" t="str">
        <f t="shared" si="4"/>
        <v/>
      </c>
      <c r="I17" s="75" t="str">
        <f t="shared" si="0"/>
        <v/>
      </c>
      <c r="J17" s="75" t="str">
        <f t="shared" si="11"/>
        <v/>
      </c>
      <c r="K17" s="71" t="str">
        <f t="shared" si="5"/>
        <v/>
      </c>
      <c r="L17" s="72" t="str">
        <f t="shared" si="6"/>
        <v/>
      </c>
      <c r="M17" s="70" t="str">
        <f t="shared" si="7"/>
        <v/>
      </c>
      <c r="N17" s="19" t="str">
        <f t="shared" ref="N17:N31" si="14">IF($F17&gt;0,IF($B17&gt;0,(($G17-$J17)/$G17),""),"")</f>
        <v/>
      </c>
      <c r="O17" s="19" t="str">
        <f t="shared" si="8"/>
        <v/>
      </c>
      <c r="P17" s="6"/>
      <c r="Q17" s="88" t="str">
        <f t="shared" si="12"/>
        <v/>
      </c>
      <c r="R17" s="94" t="str">
        <f t="shared" si="13"/>
        <v/>
      </c>
      <c r="S17" s="95" t="str">
        <f t="shared" si="10"/>
        <v/>
      </c>
      <c r="T17" s="89" t="str">
        <f t="shared" ref="T17:T31" si="15">IF(ISNUMBER($R17)=TRUE,($R17-$J17-$M17)/$R17,"")</f>
        <v/>
      </c>
    </row>
    <row r="18" spans="1:20" x14ac:dyDescent="0.25">
      <c r="A18" s="59"/>
      <c r="B18" s="60"/>
      <c r="C18" s="19" t="str">
        <f t="shared" si="1"/>
        <v/>
      </c>
      <c r="D18" s="61"/>
      <c r="E18" s="20" t="str">
        <f t="shared" si="2"/>
        <v/>
      </c>
      <c r="F18" s="62"/>
      <c r="G18" s="70" t="str">
        <f t="shared" si="3"/>
        <v/>
      </c>
      <c r="H18" s="74" t="str">
        <f t="shared" si="4"/>
        <v/>
      </c>
      <c r="I18" s="75" t="str">
        <f t="shared" si="0"/>
        <v/>
      </c>
      <c r="J18" s="75" t="str">
        <f t="shared" si="11"/>
        <v/>
      </c>
      <c r="K18" s="71" t="str">
        <f t="shared" si="5"/>
        <v/>
      </c>
      <c r="L18" s="70" t="str">
        <f t="shared" si="6"/>
        <v/>
      </c>
      <c r="M18" s="70" t="str">
        <f t="shared" si="7"/>
        <v/>
      </c>
      <c r="N18" s="19" t="str">
        <f t="shared" si="14"/>
        <v/>
      </c>
      <c r="O18" s="19" t="str">
        <f t="shared" si="8"/>
        <v/>
      </c>
      <c r="P18" s="6"/>
      <c r="Q18" s="90" t="str">
        <f t="shared" si="12"/>
        <v/>
      </c>
      <c r="R18" s="94" t="str">
        <f t="shared" si="13"/>
        <v/>
      </c>
      <c r="S18" s="95" t="str">
        <f t="shared" si="10"/>
        <v/>
      </c>
      <c r="T18" s="89" t="str">
        <f t="shared" si="15"/>
        <v/>
      </c>
    </row>
    <row r="19" spans="1:20" x14ac:dyDescent="0.25">
      <c r="A19" s="59"/>
      <c r="B19" s="60"/>
      <c r="C19" s="19" t="str">
        <f t="shared" si="1"/>
        <v/>
      </c>
      <c r="D19" s="61"/>
      <c r="E19" s="20" t="str">
        <f t="shared" si="2"/>
        <v/>
      </c>
      <c r="F19" s="62"/>
      <c r="G19" s="70" t="str">
        <f t="shared" si="3"/>
        <v/>
      </c>
      <c r="H19" s="74" t="str">
        <f t="shared" si="4"/>
        <v/>
      </c>
      <c r="I19" s="75" t="str">
        <f t="shared" si="0"/>
        <v/>
      </c>
      <c r="J19" s="75" t="str">
        <f t="shared" si="11"/>
        <v/>
      </c>
      <c r="K19" s="71" t="str">
        <f t="shared" si="5"/>
        <v/>
      </c>
      <c r="L19" s="70" t="str">
        <f t="shared" si="6"/>
        <v/>
      </c>
      <c r="M19" s="70" t="str">
        <f t="shared" si="7"/>
        <v/>
      </c>
      <c r="N19" s="19" t="str">
        <f t="shared" si="14"/>
        <v/>
      </c>
      <c r="O19" s="19" t="str">
        <f t="shared" si="8"/>
        <v/>
      </c>
      <c r="P19" s="6"/>
      <c r="Q19" s="88" t="str">
        <f t="shared" si="12"/>
        <v/>
      </c>
      <c r="R19" s="94" t="str">
        <f t="shared" si="13"/>
        <v/>
      </c>
      <c r="S19" s="95" t="str">
        <f t="shared" si="10"/>
        <v/>
      </c>
      <c r="T19" s="89" t="str">
        <f t="shared" si="15"/>
        <v/>
      </c>
    </row>
    <row r="20" spans="1:20" x14ac:dyDescent="0.25">
      <c r="A20" s="59"/>
      <c r="B20" s="60"/>
      <c r="C20" s="19" t="str">
        <f t="shared" si="1"/>
        <v/>
      </c>
      <c r="D20" s="61"/>
      <c r="E20" s="20" t="str">
        <f t="shared" si="2"/>
        <v/>
      </c>
      <c r="F20" s="62"/>
      <c r="G20" s="70" t="str">
        <f t="shared" si="3"/>
        <v/>
      </c>
      <c r="H20" s="74" t="str">
        <f t="shared" si="4"/>
        <v/>
      </c>
      <c r="I20" s="75" t="str">
        <f t="shared" si="0"/>
        <v/>
      </c>
      <c r="J20" s="75" t="str">
        <f t="shared" si="11"/>
        <v/>
      </c>
      <c r="K20" s="71" t="str">
        <f t="shared" si="5"/>
        <v/>
      </c>
      <c r="L20" s="70" t="str">
        <f t="shared" si="6"/>
        <v/>
      </c>
      <c r="M20" s="70" t="str">
        <f t="shared" si="7"/>
        <v/>
      </c>
      <c r="N20" s="19" t="str">
        <f t="shared" si="14"/>
        <v/>
      </c>
      <c r="O20" s="19" t="str">
        <f t="shared" si="8"/>
        <v/>
      </c>
      <c r="P20" s="6"/>
      <c r="Q20" s="88" t="str">
        <f t="shared" si="12"/>
        <v/>
      </c>
      <c r="R20" s="94" t="str">
        <f t="shared" si="13"/>
        <v/>
      </c>
      <c r="S20" s="95" t="str">
        <f t="shared" si="10"/>
        <v/>
      </c>
      <c r="T20" s="89" t="str">
        <f t="shared" si="15"/>
        <v/>
      </c>
    </row>
    <row r="21" spans="1:20" x14ac:dyDescent="0.25">
      <c r="A21" s="59"/>
      <c r="B21" s="60"/>
      <c r="C21" s="19" t="str">
        <f t="shared" si="1"/>
        <v/>
      </c>
      <c r="D21" s="61"/>
      <c r="E21" s="20" t="str">
        <f t="shared" si="2"/>
        <v/>
      </c>
      <c r="F21" s="62"/>
      <c r="G21" s="70" t="str">
        <f t="shared" si="3"/>
        <v/>
      </c>
      <c r="H21" s="74" t="str">
        <f t="shared" si="4"/>
        <v/>
      </c>
      <c r="I21" s="75" t="str">
        <f t="shared" si="0"/>
        <v/>
      </c>
      <c r="J21" s="75" t="str">
        <f t="shared" si="11"/>
        <v/>
      </c>
      <c r="K21" s="71" t="str">
        <f t="shared" si="5"/>
        <v/>
      </c>
      <c r="L21" s="70" t="str">
        <f t="shared" si="6"/>
        <v/>
      </c>
      <c r="M21" s="70" t="str">
        <f t="shared" si="7"/>
        <v/>
      </c>
      <c r="N21" s="19" t="str">
        <f t="shared" si="14"/>
        <v/>
      </c>
      <c r="O21" s="19" t="str">
        <f t="shared" si="8"/>
        <v/>
      </c>
      <c r="P21" s="6"/>
      <c r="Q21" s="88" t="str">
        <f t="shared" si="12"/>
        <v/>
      </c>
      <c r="R21" s="94" t="str">
        <f t="shared" si="13"/>
        <v/>
      </c>
      <c r="S21" s="95" t="str">
        <f t="shared" si="10"/>
        <v/>
      </c>
      <c r="T21" s="89" t="str">
        <f t="shared" si="15"/>
        <v/>
      </c>
    </row>
    <row r="22" spans="1:20" x14ac:dyDescent="0.25">
      <c r="A22" s="59"/>
      <c r="B22" s="60"/>
      <c r="C22" s="19" t="str">
        <f t="shared" si="1"/>
        <v/>
      </c>
      <c r="D22" s="61"/>
      <c r="E22" s="20" t="str">
        <f t="shared" si="2"/>
        <v/>
      </c>
      <c r="F22" s="62"/>
      <c r="G22" s="70" t="str">
        <f t="shared" si="3"/>
        <v/>
      </c>
      <c r="H22" s="74" t="str">
        <f t="shared" si="4"/>
        <v/>
      </c>
      <c r="I22" s="75" t="str">
        <f t="shared" si="0"/>
        <v/>
      </c>
      <c r="J22" s="75" t="str">
        <f t="shared" si="11"/>
        <v/>
      </c>
      <c r="K22" s="71" t="str">
        <f t="shared" si="5"/>
        <v/>
      </c>
      <c r="L22" s="70" t="str">
        <f t="shared" si="6"/>
        <v/>
      </c>
      <c r="M22" s="70" t="str">
        <f t="shared" si="7"/>
        <v/>
      </c>
      <c r="N22" s="19" t="str">
        <f t="shared" si="14"/>
        <v/>
      </c>
      <c r="O22" s="19" t="str">
        <f t="shared" si="8"/>
        <v/>
      </c>
      <c r="P22" s="6"/>
      <c r="Q22" s="88" t="str">
        <f t="shared" si="12"/>
        <v/>
      </c>
      <c r="R22" s="94" t="str">
        <f t="shared" si="13"/>
        <v/>
      </c>
      <c r="S22" s="95" t="str">
        <f t="shared" si="10"/>
        <v/>
      </c>
      <c r="T22" s="89" t="str">
        <f t="shared" si="15"/>
        <v/>
      </c>
    </row>
    <row r="23" spans="1:20" x14ac:dyDescent="0.25">
      <c r="A23" s="59"/>
      <c r="B23" s="60"/>
      <c r="C23" s="19" t="str">
        <f t="shared" si="1"/>
        <v/>
      </c>
      <c r="D23" s="61"/>
      <c r="E23" s="20" t="str">
        <f t="shared" si="2"/>
        <v/>
      </c>
      <c r="F23" s="62"/>
      <c r="G23" s="70" t="str">
        <f t="shared" si="3"/>
        <v/>
      </c>
      <c r="H23" s="74" t="str">
        <f t="shared" si="4"/>
        <v/>
      </c>
      <c r="I23" s="75" t="str">
        <f t="shared" si="0"/>
        <v/>
      </c>
      <c r="J23" s="75" t="str">
        <f t="shared" si="11"/>
        <v/>
      </c>
      <c r="K23" s="71" t="str">
        <f t="shared" si="5"/>
        <v/>
      </c>
      <c r="L23" s="70" t="str">
        <f t="shared" si="6"/>
        <v/>
      </c>
      <c r="M23" s="70" t="str">
        <f t="shared" si="7"/>
        <v/>
      </c>
      <c r="N23" s="19" t="str">
        <f t="shared" si="14"/>
        <v/>
      </c>
      <c r="O23" s="19" t="str">
        <f t="shared" si="8"/>
        <v/>
      </c>
      <c r="P23" s="6"/>
      <c r="Q23" s="88" t="str">
        <f t="shared" si="12"/>
        <v/>
      </c>
      <c r="R23" s="94" t="str">
        <f t="shared" si="13"/>
        <v/>
      </c>
      <c r="S23" s="95" t="str">
        <f t="shared" si="10"/>
        <v/>
      </c>
      <c r="T23" s="89" t="str">
        <f t="shared" si="15"/>
        <v/>
      </c>
    </row>
    <row r="24" spans="1:20" x14ac:dyDescent="0.25">
      <c r="A24" s="59"/>
      <c r="B24" s="60"/>
      <c r="C24" s="19" t="str">
        <f t="shared" si="1"/>
        <v/>
      </c>
      <c r="D24" s="61"/>
      <c r="E24" s="20" t="str">
        <f t="shared" si="2"/>
        <v/>
      </c>
      <c r="F24" s="62"/>
      <c r="G24" s="70" t="str">
        <f t="shared" si="3"/>
        <v/>
      </c>
      <c r="H24" s="74" t="str">
        <f t="shared" si="4"/>
        <v/>
      </c>
      <c r="I24" s="75" t="str">
        <f t="shared" si="0"/>
        <v/>
      </c>
      <c r="J24" s="75" t="str">
        <f t="shared" si="11"/>
        <v/>
      </c>
      <c r="K24" s="71" t="str">
        <f t="shared" si="5"/>
        <v/>
      </c>
      <c r="L24" s="70" t="str">
        <f t="shared" si="6"/>
        <v/>
      </c>
      <c r="M24" s="70" t="str">
        <f t="shared" si="7"/>
        <v/>
      </c>
      <c r="N24" s="19" t="str">
        <f t="shared" si="14"/>
        <v/>
      </c>
      <c r="O24" s="19" t="str">
        <f t="shared" si="8"/>
        <v/>
      </c>
      <c r="P24" s="6"/>
      <c r="Q24" s="88" t="str">
        <f t="shared" si="12"/>
        <v/>
      </c>
      <c r="R24" s="94" t="str">
        <f t="shared" si="13"/>
        <v/>
      </c>
      <c r="S24" s="95" t="str">
        <f t="shared" si="10"/>
        <v/>
      </c>
      <c r="T24" s="89" t="str">
        <f t="shared" si="15"/>
        <v/>
      </c>
    </row>
    <row r="25" spans="1:20" x14ac:dyDescent="0.25">
      <c r="A25" s="59"/>
      <c r="B25" s="60"/>
      <c r="C25" s="19" t="str">
        <f t="shared" si="1"/>
        <v/>
      </c>
      <c r="D25" s="61"/>
      <c r="E25" s="20" t="str">
        <f t="shared" si="2"/>
        <v/>
      </c>
      <c r="F25" s="62"/>
      <c r="G25" s="70" t="str">
        <f t="shared" si="3"/>
        <v/>
      </c>
      <c r="H25" s="74" t="str">
        <f t="shared" si="4"/>
        <v/>
      </c>
      <c r="I25" s="75" t="str">
        <f t="shared" si="0"/>
        <v/>
      </c>
      <c r="J25" s="75" t="str">
        <f t="shared" si="11"/>
        <v/>
      </c>
      <c r="K25" s="71" t="str">
        <f t="shared" si="5"/>
        <v/>
      </c>
      <c r="L25" s="70" t="str">
        <f t="shared" si="6"/>
        <v/>
      </c>
      <c r="M25" s="70" t="str">
        <f t="shared" si="7"/>
        <v/>
      </c>
      <c r="N25" s="19" t="str">
        <f t="shared" si="14"/>
        <v/>
      </c>
      <c r="O25" s="19" t="str">
        <f t="shared" si="8"/>
        <v/>
      </c>
      <c r="P25" s="6"/>
      <c r="Q25" s="88" t="str">
        <f t="shared" si="12"/>
        <v/>
      </c>
      <c r="R25" s="94" t="str">
        <f t="shared" si="13"/>
        <v/>
      </c>
      <c r="S25" s="95" t="str">
        <f t="shared" si="10"/>
        <v/>
      </c>
      <c r="T25" s="89" t="str">
        <f t="shared" si="15"/>
        <v/>
      </c>
    </row>
    <row r="26" spans="1:20" x14ac:dyDescent="0.25">
      <c r="A26" s="59"/>
      <c r="B26" s="60"/>
      <c r="C26" s="19" t="str">
        <f t="shared" si="1"/>
        <v/>
      </c>
      <c r="D26" s="61"/>
      <c r="E26" s="20" t="str">
        <f t="shared" si="2"/>
        <v/>
      </c>
      <c r="F26" s="62"/>
      <c r="G26" s="70" t="str">
        <f t="shared" si="3"/>
        <v/>
      </c>
      <c r="H26" s="74" t="str">
        <f t="shared" si="4"/>
        <v/>
      </c>
      <c r="I26" s="75" t="str">
        <f t="shared" si="0"/>
        <v/>
      </c>
      <c r="J26" s="75" t="str">
        <f t="shared" si="11"/>
        <v/>
      </c>
      <c r="K26" s="71" t="str">
        <f t="shared" si="5"/>
        <v/>
      </c>
      <c r="L26" s="70" t="str">
        <f t="shared" si="6"/>
        <v/>
      </c>
      <c r="M26" s="70" t="str">
        <f t="shared" si="7"/>
        <v/>
      </c>
      <c r="N26" s="19" t="str">
        <f t="shared" si="14"/>
        <v/>
      </c>
      <c r="O26" s="19" t="str">
        <f t="shared" si="8"/>
        <v/>
      </c>
      <c r="P26" s="6"/>
      <c r="Q26" s="88" t="str">
        <f t="shared" si="12"/>
        <v/>
      </c>
      <c r="R26" s="94" t="str">
        <f t="shared" si="13"/>
        <v/>
      </c>
      <c r="S26" s="95" t="str">
        <f t="shared" si="10"/>
        <v/>
      </c>
      <c r="T26" s="89" t="str">
        <f t="shared" si="15"/>
        <v/>
      </c>
    </row>
    <row r="27" spans="1:20" x14ac:dyDescent="0.25">
      <c r="A27" s="59"/>
      <c r="B27" s="60"/>
      <c r="C27" s="19" t="str">
        <f t="shared" si="1"/>
        <v/>
      </c>
      <c r="D27" s="61"/>
      <c r="E27" s="20" t="str">
        <f t="shared" si="2"/>
        <v/>
      </c>
      <c r="F27" s="62"/>
      <c r="G27" s="70" t="str">
        <f t="shared" si="3"/>
        <v/>
      </c>
      <c r="H27" s="74" t="str">
        <f t="shared" si="4"/>
        <v/>
      </c>
      <c r="I27" s="75" t="str">
        <f t="shared" si="0"/>
        <v/>
      </c>
      <c r="J27" s="75" t="str">
        <f t="shared" si="11"/>
        <v/>
      </c>
      <c r="K27" s="71" t="str">
        <f t="shared" si="5"/>
        <v/>
      </c>
      <c r="L27" s="70" t="str">
        <f t="shared" si="6"/>
        <v/>
      </c>
      <c r="M27" s="70" t="str">
        <f t="shared" si="7"/>
        <v/>
      </c>
      <c r="N27" s="19" t="str">
        <f t="shared" si="14"/>
        <v/>
      </c>
      <c r="O27" s="19" t="str">
        <f t="shared" si="8"/>
        <v/>
      </c>
      <c r="P27" s="6"/>
      <c r="Q27" s="88" t="str">
        <f t="shared" si="12"/>
        <v/>
      </c>
      <c r="R27" s="94" t="str">
        <f t="shared" si="13"/>
        <v/>
      </c>
      <c r="S27" s="95" t="str">
        <f t="shared" si="10"/>
        <v/>
      </c>
      <c r="T27" s="89" t="str">
        <f t="shared" si="15"/>
        <v/>
      </c>
    </row>
    <row r="28" spans="1:20" x14ac:dyDescent="0.25">
      <c r="A28" s="59"/>
      <c r="B28" s="60"/>
      <c r="C28" s="19" t="str">
        <f t="shared" si="1"/>
        <v/>
      </c>
      <c r="D28" s="61"/>
      <c r="E28" s="20" t="str">
        <f t="shared" si="2"/>
        <v/>
      </c>
      <c r="F28" s="62"/>
      <c r="G28" s="70" t="str">
        <f t="shared" si="3"/>
        <v/>
      </c>
      <c r="H28" s="74" t="str">
        <f t="shared" si="4"/>
        <v/>
      </c>
      <c r="I28" s="75" t="str">
        <f t="shared" si="0"/>
        <v/>
      </c>
      <c r="J28" s="75" t="str">
        <f t="shared" si="11"/>
        <v/>
      </c>
      <c r="K28" s="71" t="str">
        <f t="shared" si="5"/>
        <v/>
      </c>
      <c r="L28" s="70" t="str">
        <f t="shared" si="6"/>
        <v/>
      </c>
      <c r="M28" s="70" t="str">
        <f t="shared" si="7"/>
        <v/>
      </c>
      <c r="N28" s="19" t="str">
        <f t="shared" si="14"/>
        <v/>
      </c>
      <c r="O28" s="19" t="str">
        <f t="shared" si="8"/>
        <v/>
      </c>
      <c r="P28" s="6"/>
      <c r="Q28" s="88" t="str">
        <f t="shared" si="12"/>
        <v/>
      </c>
      <c r="R28" s="94" t="str">
        <f t="shared" si="13"/>
        <v/>
      </c>
      <c r="S28" s="95" t="str">
        <f t="shared" si="10"/>
        <v/>
      </c>
      <c r="T28" s="89" t="str">
        <f t="shared" si="15"/>
        <v/>
      </c>
    </row>
    <row r="29" spans="1:20" x14ac:dyDescent="0.25">
      <c r="A29" s="59"/>
      <c r="B29" s="60"/>
      <c r="C29" s="19" t="str">
        <f t="shared" si="1"/>
        <v/>
      </c>
      <c r="D29" s="61"/>
      <c r="E29" s="20" t="str">
        <f t="shared" si="2"/>
        <v/>
      </c>
      <c r="F29" s="62"/>
      <c r="G29" s="70" t="str">
        <f t="shared" si="3"/>
        <v/>
      </c>
      <c r="H29" s="74" t="str">
        <f t="shared" si="4"/>
        <v/>
      </c>
      <c r="I29" s="75" t="str">
        <f t="shared" si="0"/>
        <v/>
      </c>
      <c r="J29" s="75" t="str">
        <f t="shared" si="11"/>
        <v/>
      </c>
      <c r="K29" s="71" t="str">
        <f t="shared" si="5"/>
        <v/>
      </c>
      <c r="L29" s="70" t="str">
        <f t="shared" si="6"/>
        <v/>
      </c>
      <c r="M29" s="70" t="str">
        <f t="shared" si="7"/>
        <v/>
      </c>
      <c r="N29" s="19" t="str">
        <f t="shared" si="14"/>
        <v/>
      </c>
      <c r="O29" s="19" t="str">
        <f t="shared" si="8"/>
        <v/>
      </c>
      <c r="P29" s="6"/>
      <c r="Q29" s="88" t="str">
        <f t="shared" si="12"/>
        <v/>
      </c>
      <c r="R29" s="94" t="str">
        <f t="shared" si="13"/>
        <v/>
      </c>
      <c r="S29" s="95" t="str">
        <f t="shared" si="10"/>
        <v/>
      </c>
      <c r="T29" s="89" t="str">
        <f t="shared" si="15"/>
        <v/>
      </c>
    </row>
    <row r="30" spans="1:20" x14ac:dyDescent="0.25">
      <c r="A30" s="59"/>
      <c r="B30" s="60"/>
      <c r="C30" s="19" t="str">
        <f t="shared" si="1"/>
        <v/>
      </c>
      <c r="D30" s="61"/>
      <c r="E30" s="20" t="str">
        <f t="shared" si="2"/>
        <v/>
      </c>
      <c r="F30" s="62"/>
      <c r="G30" s="70" t="str">
        <f t="shared" si="3"/>
        <v/>
      </c>
      <c r="H30" s="74" t="str">
        <f t="shared" si="4"/>
        <v/>
      </c>
      <c r="I30" s="75" t="str">
        <f t="shared" si="0"/>
        <v/>
      </c>
      <c r="J30" s="75" t="str">
        <f t="shared" si="11"/>
        <v/>
      </c>
      <c r="K30" s="71" t="str">
        <f t="shared" si="5"/>
        <v/>
      </c>
      <c r="L30" s="70" t="str">
        <f t="shared" si="6"/>
        <v/>
      </c>
      <c r="M30" s="70" t="str">
        <f t="shared" si="7"/>
        <v/>
      </c>
      <c r="N30" s="19" t="str">
        <f t="shared" si="14"/>
        <v/>
      </c>
      <c r="O30" s="19" t="str">
        <f t="shared" si="8"/>
        <v/>
      </c>
      <c r="P30" s="6"/>
      <c r="Q30" s="88" t="str">
        <f t="shared" si="12"/>
        <v/>
      </c>
      <c r="R30" s="94" t="str">
        <f t="shared" si="13"/>
        <v/>
      </c>
      <c r="S30" s="95" t="str">
        <f t="shared" si="10"/>
        <v/>
      </c>
      <c r="T30" s="89" t="str">
        <f t="shared" si="15"/>
        <v/>
      </c>
    </row>
    <row r="31" spans="1:20" x14ac:dyDescent="0.25">
      <c r="A31" s="59"/>
      <c r="B31" s="60"/>
      <c r="C31" s="19" t="str">
        <f t="shared" si="1"/>
        <v/>
      </c>
      <c r="D31" s="61"/>
      <c r="E31" s="20" t="str">
        <f t="shared" si="2"/>
        <v/>
      </c>
      <c r="F31" s="62"/>
      <c r="G31" s="70" t="str">
        <f t="shared" si="3"/>
        <v/>
      </c>
      <c r="H31" s="74" t="str">
        <f t="shared" si="4"/>
        <v/>
      </c>
      <c r="I31" s="75" t="str">
        <f t="shared" si="0"/>
        <v/>
      </c>
      <c r="J31" s="75" t="str">
        <f t="shared" si="11"/>
        <v/>
      </c>
      <c r="K31" s="71" t="str">
        <f t="shared" si="5"/>
        <v/>
      </c>
      <c r="L31" s="70" t="str">
        <f t="shared" si="6"/>
        <v/>
      </c>
      <c r="M31" s="70" t="str">
        <f t="shared" si="7"/>
        <v/>
      </c>
      <c r="N31" s="19" t="str">
        <f t="shared" si="14"/>
        <v/>
      </c>
      <c r="O31" s="19" t="str">
        <f t="shared" si="8"/>
        <v/>
      </c>
      <c r="P31" s="6"/>
      <c r="Q31" s="88" t="str">
        <f t="shared" si="12"/>
        <v/>
      </c>
      <c r="R31" s="94" t="str">
        <f t="shared" si="13"/>
        <v/>
      </c>
      <c r="S31" s="95" t="str">
        <f t="shared" si="10"/>
        <v/>
      </c>
      <c r="T31" s="89" t="str">
        <f t="shared" si="15"/>
        <v/>
      </c>
    </row>
    <row r="32" spans="1:20" ht="20.399999999999999" x14ac:dyDescent="0.25">
      <c r="A32" s="165" t="s">
        <v>1</v>
      </c>
      <c r="B32" s="22">
        <f>$B$5-B33</f>
        <v>5.0710000000000015</v>
      </c>
      <c r="C32" s="19">
        <f>$B$32/$B$5</f>
        <v>0.23476851851851857</v>
      </c>
      <c r="D32" s="23"/>
      <c r="E32" s="167"/>
      <c r="F32" s="24"/>
      <c r="G32" s="198" t="s">
        <v>74</v>
      </c>
      <c r="H32" s="66"/>
      <c r="I32" s="67"/>
      <c r="J32" s="171" t="s">
        <v>50</v>
      </c>
      <c r="K32" s="171" t="s">
        <v>63</v>
      </c>
      <c r="L32" s="171" t="s">
        <v>77</v>
      </c>
      <c r="M32" s="197" t="s">
        <v>57</v>
      </c>
      <c r="N32" s="25"/>
      <c r="O32" s="26"/>
      <c r="P32" s="27"/>
      <c r="Q32" s="25"/>
      <c r="R32" s="198" t="s">
        <v>75</v>
      </c>
      <c r="S32" s="25"/>
      <c r="T32" s="28"/>
    </row>
    <row r="33" spans="1:20" ht="40.5" customHeight="1" x14ac:dyDescent="0.25">
      <c r="A33" s="29" t="s">
        <v>2</v>
      </c>
      <c r="B33" s="30">
        <f>IF(SUM(B8:B31)&gt;$B$5,"Erreur votre total dépasse les achats en poids",SUM(B8:B31))</f>
        <v>16.529</v>
      </c>
      <c r="C33" s="31">
        <f>SUM(C8:C31)</f>
        <v>0.76523148148148146</v>
      </c>
      <c r="D33" s="168"/>
      <c r="E33" s="169"/>
      <c r="F33" s="32"/>
      <c r="G33" s="63">
        <f>SUM(G8:G31)</f>
        <v>533.95655000000011</v>
      </c>
      <c r="H33" s="68"/>
      <c r="I33" s="69"/>
      <c r="J33" s="33">
        <f>SUM(J8:J31)</f>
        <v>280</v>
      </c>
      <c r="K33" s="33">
        <f>SUM(K8:K31)</f>
        <v>99.999999999999986</v>
      </c>
      <c r="L33" s="33">
        <f>SUM(L8:L31)</f>
        <v>40</v>
      </c>
      <c r="M33" s="33">
        <f>SUM(M8:M31)</f>
        <v>27</v>
      </c>
      <c r="N33" s="34"/>
      <c r="O33" s="76">
        <f>IF(G33=0,"",IF(B33=0,"",(+(G33-J33-K33-L33-M33)/G33)))</f>
        <v>0.16285323215905881</v>
      </c>
      <c r="P33" s="35"/>
      <c r="Q33" s="36"/>
      <c r="R33" s="63">
        <f>SUM(R8:R31)</f>
        <v>533.95999999999992</v>
      </c>
      <c r="S33" s="37"/>
      <c r="T33" s="38"/>
    </row>
    <row r="34" spans="1:20" x14ac:dyDescent="0.25">
      <c r="A34" s="39" t="s">
        <v>3</v>
      </c>
      <c r="B34" s="40">
        <f>B33+B32</f>
        <v>21.6</v>
      </c>
      <c r="C34" s="166">
        <f>C32+C33</f>
        <v>1</v>
      </c>
      <c r="D34" s="41"/>
      <c r="E34" s="170"/>
      <c r="F34" s="42"/>
      <c r="G34" s="43"/>
      <c r="H34" s="43"/>
      <c r="I34" s="43"/>
      <c r="J34" s="43"/>
      <c r="K34" s="43"/>
      <c r="L34" s="43"/>
      <c r="M34" s="43"/>
      <c r="N34" s="44"/>
      <c r="O34" s="45"/>
      <c r="P34" s="27"/>
      <c r="Q34" s="44"/>
      <c r="R34" s="46"/>
      <c r="S34" s="44"/>
      <c r="T34" s="47"/>
    </row>
    <row r="35" spans="1:20" ht="27.6" customHeight="1" thickBot="1" x14ac:dyDescent="0.3">
      <c r="A35" s="8"/>
      <c r="B35" s="6"/>
      <c r="C35" s="6"/>
      <c r="D35" s="6"/>
      <c r="E35" s="6"/>
      <c r="F35" s="6"/>
      <c r="G35" s="6"/>
      <c r="H35" s="6"/>
      <c r="I35" s="6"/>
      <c r="J35" s="6"/>
      <c r="K35" s="6"/>
      <c r="L35" s="6"/>
      <c r="M35" s="6"/>
      <c r="N35" s="6"/>
      <c r="O35" s="6"/>
      <c r="P35" s="6"/>
      <c r="Q35" s="6"/>
      <c r="R35" s="6"/>
      <c r="S35" s="6"/>
      <c r="T35" s="7"/>
    </row>
    <row r="36" spans="1:20" ht="40.799999999999997" customHeight="1" thickBot="1" x14ac:dyDescent="0.3">
      <c r="A36" s="335" t="s">
        <v>99</v>
      </c>
      <c r="B36" s="336"/>
      <c r="C36" s="336"/>
      <c r="D36" s="336"/>
      <c r="E36" s="336"/>
      <c r="F36" s="337"/>
      <c r="G36" s="16"/>
      <c r="H36" s="16"/>
      <c r="I36" s="16"/>
      <c r="J36" s="16"/>
      <c r="K36" s="16"/>
      <c r="L36" s="16"/>
      <c r="M36" s="16"/>
      <c r="N36" s="16"/>
      <c r="O36" s="16"/>
      <c r="P36" s="16"/>
      <c r="Q36" s="296" t="s">
        <v>100</v>
      </c>
      <c r="R36" s="297"/>
      <c r="S36" s="297"/>
      <c r="T36" s="298"/>
    </row>
    <row r="37" spans="1:20" ht="49.2" customHeight="1" x14ac:dyDescent="0.25">
      <c r="A37" s="328" t="s">
        <v>5</v>
      </c>
      <c r="B37" s="301" t="s">
        <v>6</v>
      </c>
      <c r="C37" s="302"/>
      <c r="D37" s="303"/>
      <c r="E37" s="304"/>
      <c r="F37" s="330" t="s">
        <v>81</v>
      </c>
      <c r="G37" s="16"/>
      <c r="H37" s="16"/>
      <c r="I37" s="16"/>
      <c r="J37" s="16"/>
      <c r="K37" s="85"/>
      <c r="L37" s="16"/>
      <c r="M37" s="16"/>
      <c r="N37" s="16"/>
      <c r="O37" s="16"/>
      <c r="P37" s="16"/>
      <c r="Q37" s="343" t="s">
        <v>5</v>
      </c>
      <c r="R37" s="318" t="s">
        <v>119</v>
      </c>
      <c r="S37" s="319"/>
      <c r="T37" s="341" t="s">
        <v>8</v>
      </c>
    </row>
    <row r="38" spans="1:20" ht="20.399999999999999" customHeight="1" thickBot="1" x14ac:dyDescent="0.3">
      <c r="A38" s="329"/>
      <c r="B38" s="305"/>
      <c r="C38" s="306"/>
      <c r="D38" s="307"/>
      <c r="E38" s="260"/>
      <c r="F38" s="331"/>
      <c r="G38" s="16"/>
      <c r="H38" s="16"/>
      <c r="I38" s="16"/>
      <c r="J38" s="16"/>
      <c r="K38" s="85"/>
      <c r="L38" s="16"/>
      <c r="M38" s="16"/>
      <c r="N38" s="16"/>
      <c r="O38" s="16"/>
      <c r="P38" s="16"/>
      <c r="Q38" s="344"/>
      <c r="R38" s="320">
        <f>Q6</f>
        <v>0.23697405711794201</v>
      </c>
      <c r="S38" s="321"/>
      <c r="T38" s="342"/>
    </row>
    <row r="39" spans="1:20" ht="30" customHeight="1" x14ac:dyDescent="0.25">
      <c r="A39" s="154" t="s">
        <v>7</v>
      </c>
      <c r="B39" s="308" t="s">
        <v>129</v>
      </c>
      <c r="C39" s="309"/>
      <c r="D39" s="310"/>
      <c r="E39" s="311"/>
      <c r="F39" s="173">
        <f>IF(G33=0,"",IF(B33=0,"",IF($B$33&gt;$B$5,"Erreur:le total des coupes en poids dépasse la carcasse en poids",$B$5/$G$33)))</f>
        <v>4.0452729721173003E-2</v>
      </c>
      <c r="G39" s="16"/>
      <c r="H39" s="16"/>
      <c r="I39" s="16"/>
      <c r="J39" s="16"/>
      <c r="K39" s="16"/>
      <c r="L39" s="16"/>
      <c r="M39" s="16"/>
      <c r="N39" s="16"/>
      <c r="O39" s="16"/>
      <c r="P39" s="16"/>
      <c r="Q39" s="202" t="s">
        <v>7</v>
      </c>
      <c r="R39" s="315" t="s">
        <v>129</v>
      </c>
      <c r="S39" s="315"/>
      <c r="T39" s="174">
        <f>IF(G33=0,"",IF(B33=0,"",IF($B$33&gt;$B$5,"Erreur:le total des coupes en poids dépasse l'achat en poids",$B$5/$G$33)))</f>
        <v>4.0452729721173003E-2</v>
      </c>
    </row>
    <row r="40" spans="1:20" ht="30" customHeight="1" x14ac:dyDescent="0.25">
      <c r="A40" s="155" t="s">
        <v>51</v>
      </c>
      <c r="B40" s="286" t="s">
        <v>64</v>
      </c>
      <c r="C40" s="287"/>
      <c r="D40" s="288"/>
      <c r="E40" s="289"/>
      <c r="F40" s="175">
        <f>G33</f>
        <v>533.95655000000011</v>
      </c>
      <c r="G40" s="16"/>
      <c r="H40" s="16"/>
      <c r="I40" s="16"/>
      <c r="J40" s="16"/>
      <c r="K40" s="16"/>
      <c r="L40" s="16"/>
      <c r="M40" s="16"/>
      <c r="N40" s="16"/>
      <c r="O40" s="16"/>
      <c r="P40" s="16"/>
      <c r="Q40" s="203" t="s">
        <v>51</v>
      </c>
      <c r="R40" s="316" t="s">
        <v>67</v>
      </c>
      <c r="S40" s="317"/>
      <c r="T40" s="91">
        <f>R33</f>
        <v>533.95999999999992</v>
      </c>
    </row>
    <row r="41" spans="1:20" ht="54.75" customHeight="1" x14ac:dyDescent="0.25">
      <c r="A41" s="172" t="s">
        <v>52</v>
      </c>
      <c r="B41" s="286" t="s">
        <v>65</v>
      </c>
      <c r="C41" s="287"/>
      <c r="D41" s="288"/>
      <c r="E41" s="289"/>
      <c r="F41" s="158">
        <f>$G$33-$J$33-K33-L33-M33</f>
        <v>86.956550000000107</v>
      </c>
      <c r="G41" s="16"/>
      <c r="H41" s="16"/>
      <c r="I41" s="16"/>
      <c r="J41" s="16"/>
      <c r="K41" s="16"/>
      <c r="L41" s="16"/>
      <c r="M41" s="16"/>
      <c r="N41" s="16"/>
      <c r="O41" s="48"/>
      <c r="P41" s="48"/>
      <c r="Q41" s="204" t="s">
        <v>120</v>
      </c>
      <c r="R41" s="312" t="s">
        <v>66</v>
      </c>
      <c r="S41" s="312"/>
      <c r="T41" s="92">
        <f>$R33-$J33-K33-L33-M33</f>
        <v>86.959999999999923</v>
      </c>
    </row>
    <row r="42" spans="1:20" ht="66.75" customHeight="1" x14ac:dyDescent="0.25">
      <c r="A42" s="172" t="s">
        <v>121</v>
      </c>
      <c r="B42" s="290" t="s">
        <v>105</v>
      </c>
      <c r="C42" s="291"/>
      <c r="D42" s="288"/>
      <c r="E42" s="289"/>
      <c r="F42" s="157">
        <f>IF(F39="","",($F$41/$G$33))</f>
        <v>0.16285323215905881</v>
      </c>
      <c r="G42" s="16"/>
      <c r="H42" s="16"/>
      <c r="I42" s="16"/>
      <c r="J42" s="16"/>
      <c r="K42" s="16"/>
      <c r="L42" s="16"/>
      <c r="M42" s="16"/>
      <c r="N42" s="16"/>
      <c r="O42" s="16"/>
      <c r="P42" s="16"/>
      <c r="Q42" s="205" t="s">
        <v>122</v>
      </c>
      <c r="R42" s="313" t="s">
        <v>123</v>
      </c>
      <c r="S42" s="314"/>
      <c r="T42" s="93">
        <f>IF(T39="","",(T41/$R$33))</f>
        <v>0.16285864109671125</v>
      </c>
    </row>
    <row r="43" spans="1:20" ht="66.75" customHeight="1" thickBot="1" x14ac:dyDescent="0.3">
      <c r="A43" s="156" t="s">
        <v>53</v>
      </c>
      <c r="B43" s="292" t="s">
        <v>14</v>
      </c>
      <c r="C43" s="293"/>
      <c r="D43" s="294"/>
      <c r="E43" s="295"/>
      <c r="F43" s="176">
        <f>+K5</f>
        <v>16.988729166666669</v>
      </c>
      <c r="G43" s="16"/>
      <c r="H43" s="16"/>
      <c r="I43" s="16"/>
      <c r="J43" s="16"/>
      <c r="K43" s="16"/>
      <c r="L43" s="16"/>
      <c r="M43" s="16"/>
      <c r="N43" s="16"/>
      <c r="O43" s="16"/>
      <c r="P43" s="16"/>
      <c r="Q43" s="206" t="s">
        <v>53</v>
      </c>
      <c r="R43" s="299" t="s">
        <v>54</v>
      </c>
      <c r="S43" s="300"/>
      <c r="T43" s="201">
        <f>+M5</f>
        <v>16.988888888888887</v>
      </c>
    </row>
  </sheetData>
  <sheetProtection sheet="1" objects="1" scenarios="1"/>
  <mergeCells count="25">
    <mergeCell ref="A1:T1"/>
    <mergeCell ref="A2:N2"/>
    <mergeCell ref="H5:I5"/>
    <mergeCell ref="A37:A38"/>
    <mergeCell ref="F37:F38"/>
    <mergeCell ref="Q4:T4"/>
    <mergeCell ref="A36:F36"/>
    <mergeCell ref="H4:I4"/>
    <mergeCell ref="Q6:T6"/>
    <mergeCell ref="T37:T38"/>
    <mergeCell ref="Q37:Q38"/>
    <mergeCell ref="B40:E40"/>
    <mergeCell ref="B41:E41"/>
    <mergeCell ref="B42:E42"/>
    <mergeCell ref="B43:E43"/>
    <mergeCell ref="Q36:T36"/>
    <mergeCell ref="R43:S43"/>
    <mergeCell ref="B37:E38"/>
    <mergeCell ref="B39:E39"/>
    <mergeCell ref="R41:S41"/>
    <mergeCell ref="R42:S42"/>
    <mergeCell ref="R39:S39"/>
    <mergeCell ref="R40:S40"/>
    <mergeCell ref="R37:S37"/>
    <mergeCell ref="R38:S38"/>
  </mergeCells>
  <phoneticPr fontId="8" type="noConversion"/>
  <dataValidations count="5">
    <dataValidation type="custom" allowBlank="1" showInputMessage="1" showErrorMessage="1" errorTitle="Attention!" error="La donnée doit être supérieure à 0. Veuillez corriger pour poursuivre." sqref="B5 G5">
      <formula1>B5&gt;0</formula1>
    </dataValidation>
    <dataValidation type="custom" allowBlank="1" showInputMessage="1" showErrorMessage="1" errorTitle="Attention!" error="Vous avez inscrit une donnée inférieure à 0 de temps requis pour la découpe. Veuillez corriger cette donnée pour poursuivre." sqref="L9 K9:K31">
      <formula1>K9&gt;=0</formula1>
    </dataValidation>
    <dataValidation type="custom" allowBlank="1" showInputMessage="1" showErrorMessage="1" errorTitle="Attention!" error="Vous avez inscrit une donnée inférieure à 0 de salaire versé pour la découpe. Veuillez corriger cette donnée pour poursuivre." sqref="L8 L10:L31">
      <formula1>L8&gt;=0</formula1>
    </dataValidation>
    <dataValidation type="custom" allowBlank="1" showInputMessage="1" showErrorMessage="1" errorTitle="Attention!" error="La donnée doit être égale ou supérieure à 0. Veuillez corriger pour poursuivre." sqref="F8:F31">
      <formula1>F8&gt;=0</formula1>
    </dataValidation>
    <dataValidation type="custom" errorStyle="warning" allowBlank="1" showInputMessage="1" showErrorMessage="1" errorTitle="Message d'erreur" error="Le total de la colonne des poids de coupe ne doit pas dépasser l'achat en poids. Votre donnée doit aussi être supérieure à 0. Veuillez corriger de manière à ce que ce total soit égal ou inférieur à l'achat en poids." sqref="B8:B31">
      <formula1>IF($B$33&lt;=$B$5,IF(B8&gt;=0,TRUE,FALSE),FALSE)</formula1>
    </dataValidation>
  </dataValidations>
  <printOptions horizontalCentered="1" verticalCentered="1"/>
  <pageMargins left="0" right="0" top="0.35433070866141736" bottom="0.35433070866141736" header="0.51181102362204722" footer="0.51181102362204722"/>
  <pageSetup scale="45" orientation="landscape" verticalDpi="3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3.2" x14ac:dyDescent="0.25"/>
  <sheetData/>
  <sheetProtection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Introduction</vt:lpstr>
      <vt:lpstr>Données de base</vt:lpstr>
      <vt:lpstr>Entrée découpes en poids </vt:lpstr>
      <vt:lpstr>Possibilités découpes</vt:lpstr>
      <vt:lpstr>'Données de base'!Zone_d_impression</vt:lpstr>
      <vt:lpstr>'Entrée découpes en poids '!Zone_d_impression</vt:lpstr>
      <vt:lpstr>Introduction!Zone_d_impression</vt:lpstr>
    </vt:vector>
  </TitlesOfParts>
  <Company>Région Centre du Québec - 17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MAPAQ</dc:creator>
  <cp:lastModifiedBy>Patricia Turmel</cp:lastModifiedBy>
  <cp:lastPrinted>2022-04-11T12:38:08Z</cp:lastPrinted>
  <dcterms:created xsi:type="dcterms:W3CDTF">2002-04-30T14:45:06Z</dcterms:created>
  <dcterms:modified xsi:type="dcterms:W3CDTF">2022-04-11T12:40:48Z</dcterms:modified>
</cp:coreProperties>
</file>