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vml" ContentType="application/vnd.openxmlformats-officedocument.vmlDrawing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120" yWindow="60" windowWidth="19440" windowHeight="11568" activeTab="1"/>
  </bookViews>
  <sheets>
    <sheet name="NOTES À L'UTILISATEUR" sheetId="14" r:id="rId1"/>
    <sheet name="FORMULAIRE DE SAISIE" sheetId="11" r:id="rId2"/>
    <sheet name="OPTIONS POSSIBLES AR" sheetId="6" r:id="rId3"/>
    <sheet name="BASE DONNÉES" sheetId="3" r:id="rId4"/>
    <sheet name="CALCULS" sheetId="12" r:id="rId5"/>
    <sheet name="Feuil1" sheetId="15" r:id="rId6"/>
  </sheets>
  <definedNames>
    <definedName name="_xlnm._FilterDatabase" localSheetId="3" hidden="1">'BASE DONNÉES'!$B$1:$AU$2</definedName>
    <definedName name="_xlnm._FilterDatabase" localSheetId="1" hidden="1">'FORMULAIRE DE SAISIE'!$D$5:$L$6</definedName>
    <definedName name="_xlnm._FilterDatabase" localSheetId="2" hidden="1">'OPTIONS POSSIBLES AR'!$A$1:$BO$9</definedName>
    <definedName name="Animaux">'FORMULAIRE DE SAISIE'!$T$34:$U$47</definedName>
    <definedName name="Clôture_de_divisions_3_broches__piquets_de_fibre_de_verre">'FORMULAIRE DE SAISIE'!$U$12</definedName>
    <definedName name="ListAD">'FORMULAIRE DE SAISIE'!$T$5:$U$10</definedName>
    <definedName name="ListEH">'FORMULAIRE DE SAISIE'!$T$11:$U$15</definedName>
    <definedName name="_xlnm.Print_Area" localSheetId="1">'FORMULAIRE DE SAISIE'!$B$2:$O$51</definedName>
    <definedName name="_xlnm.Print_Area" localSheetId="0">'NOTES À L''UTILISATEUR'!$B$2:$J$40</definedName>
  </definedNames>
  <calcPr calcId="145621"/>
</workbook>
</file>

<file path=xl/calcChain.xml><?xml version="1.0" encoding="utf-8"?>
<calcChain xmlns="http://schemas.openxmlformats.org/spreadsheetml/2006/main">
  <c r="G36" i="11" l="1"/>
  <c r="AB44" i="11"/>
  <c r="AB42" i="11"/>
  <c r="AB39" i="11"/>
  <c r="AB38" i="11"/>
  <c r="AB36" i="11"/>
  <c r="AB35" i="11"/>
  <c r="D36" i="11" l="1"/>
  <c r="E36" i="11" s="1"/>
  <c r="B36" i="11"/>
  <c r="F6" i="11" l="1"/>
  <c r="G24" i="11"/>
  <c r="C10" i="6" l="1"/>
  <c r="D10" i="6"/>
  <c r="H10" i="6"/>
  <c r="K10" i="6"/>
  <c r="AC23" i="11" l="1"/>
  <c r="AA23" i="11"/>
  <c r="Y23" i="11"/>
  <c r="N21" i="11"/>
  <c r="K21" i="11"/>
  <c r="H21" i="11"/>
  <c r="E21" i="11"/>
  <c r="B21" i="11"/>
  <c r="W23" i="11"/>
  <c r="U23" i="11"/>
  <c r="BO10" i="6" l="1"/>
  <c r="E10" i="3" l="1"/>
  <c r="D10" i="3"/>
  <c r="I10" i="3" l="1"/>
  <c r="J10" i="3" s="1"/>
  <c r="K10" i="3" s="1"/>
  <c r="E10" i="6"/>
  <c r="F10" i="3"/>
  <c r="L10" i="3" l="1"/>
  <c r="AG10" i="3" s="1"/>
  <c r="G12" i="12" l="1"/>
  <c r="F12" i="12"/>
  <c r="F19" i="12" s="1"/>
  <c r="E12" i="12"/>
  <c r="E19" i="12" s="1"/>
  <c r="D12" i="12"/>
  <c r="C12" i="12"/>
  <c r="E24" i="12" l="1"/>
  <c r="B6" i="12"/>
  <c r="G19" i="12" s="1"/>
  <c r="B4" i="12"/>
  <c r="C36" i="11"/>
  <c r="C19" i="12" l="1"/>
  <c r="D19" i="12"/>
  <c r="I35" i="12"/>
  <c r="E35" i="12" s="1"/>
  <c r="AZ2" i="6"/>
  <c r="AZ3" i="6"/>
  <c r="AZ4" i="6"/>
  <c r="AZ5" i="6"/>
  <c r="AP4" i="6"/>
  <c r="AP2" i="6"/>
  <c r="AK5" i="6"/>
  <c r="AK6" i="6"/>
  <c r="AK7" i="6"/>
  <c r="AK8" i="6"/>
  <c r="AK9" i="6"/>
  <c r="AF6" i="6"/>
  <c r="AF7" i="6"/>
  <c r="AF8" i="6"/>
  <c r="AF9" i="6"/>
  <c r="AA7" i="6"/>
  <c r="AA8" i="6"/>
  <c r="AA9" i="6"/>
  <c r="AA6" i="6"/>
  <c r="E9" i="3" l="1"/>
  <c r="E8" i="3"/>
  <c r="E7" i="3"/>
  <c r="E6" i="3"/>
  <c r="E5" i="3"/>
  <c r="E4" i="3"/>
  <c r="E5" i="6" s="1"/>
  <c r="E3" i="3"/>
  <c r="E2" i="3"/>
  <c r="C9" i="3"/>
  <c r="C8" i="3"/>
  <c r="C7" i="3"/>
  <c r="C6" i="3"/>
  <c r="C5" i="3"/>
  <c r="C4" i="3"/>
  <c r="C3" i="3"/>
  <c r="C2" i="3"/>
  <c r="B9" i="3"/>
  <c r="B8" i="3"/>
  <c r="B7" i="3"/>
  <c r="B6" i="3"/>
  <c r="B5" i="3"/>
  <c r="B4" i="3"/>
  <c r="B3" i="3"/>
  <c r="B2" i="3"/>
  <c r="B24" i="11"/>
  <c r="D24" i="11"/>
  <c r="M24" i="11"/>
  <c r="J24" i="11"/>
  <c r="G16" i="12" l="1"/>
  <c r="N56" i="12"/>
  <c r="N55" i="12"/>
  <c r="L56" i="12"/>
  <c r="J56" i="12"/>
  <c r="H56" i="12"/>
  <c r="L55" i="12"/>
  <c r="J55" i="12"/>
  <c r="H55" i="12"/>
  <c r="F55" i="12"/>
  <c r="F16" i="12"/>
  <c r="E16" i="12"/>
  <c r="D16" i="12"/>
  <c r="F37" i="12" l="1"/>
  <c r="G37" i="12" l="1"/>
  <c r="K59" i="12" s="1"/>
  <c r="F38" i="12"/>
  <c r="G38" i="12" s="1"/>
  <c r="O60" i="12" s="1"/>
  <c r="F36" i="12"/>
  <c r="G36" i="12" s="1"/>
  <c r="O58" i="12" s="1"/>
  <c r="E34" i="12"/>
  <c r="G32" i="12"/>
  <c r="O54" i="12" s="1"/>
  <c r="E32" i="12"/>
  <c r="N54" i="12" s="1"/>
  <c r="G31" i="12"/>
  <c r="O53" i="12" s="1"/>
  <c r="I59" i="12" l="1"/>
  <c r="G59" i="12"/>
  <c r="M59" i="12"/>
  <c r="O59" i="12"/>
  <c r="G53" i="12"/>
  <c r="M53" i="12"/>
  <c r="I53" i="12"/>
  <c r="K53" i="12"/>
  <c r="F54" i="12"/>
  <c r="L54" i="12"/>
  <c r="H54" i="12"/>
  <c r="J54" i="12"/>
  <c r="G54" i="12"/>
  <c r="K54" i="12"/>
  <c r="M54" i="12"/>
  <c r="I54" i="12"/>
  <c r="G58" i="12"/>
  <c r="I58" i="12"/>
  <c r="K58" i="12"/>
  <c r="M58" i="12"/>
  <c r="G60" i="12"/>
  <c r="M60" i="12"/>
  <c r="I60" i="12"/>
  <c r="K60" i="12"/>
  <c r="E31" i="12"/>
  <c r="N53" i="12" s="1"/>
  <c r="C45" i="12"/>
  <c r="F56" i="12"/>
  <c r="C16" i="12"/>
  <c r="F5" i="12"/>
  <c r="F4" i="12"/>
  <c r="C20" i="12" s="1"/>
  <c r="D20" i="12" l="1"/>
  <c r="E20" i="12"/>
  <c r="G20" i="12"/>
  <c r="F20" i="12"/>
  <c r="F53" i="12"/>
  <c r="J53" i="12"/>
  <c r="L53" i="12"/>
  <c r="H53" i="12"/>
  <c r="F6" i="12"/>
  <c r="M9" i="11" l="1"/>
  <c r="T2" i="6" l="1"/>
  <c r="T3" i="6"/>
  <c r="T4" i="6"/>
  <c r="T5" i="6"/>
  <c r="T6" i="6"/>
  <c r="T7" i="6"/>
  <c r="T8" i="6"/>
  <c r="T9" i="6"/>
  <c r="AZ7" i="6" l="1"/>
  <c r="K6" i="6"/>
  <c r="K4" i="6"/>
  <c r="J6" i="11" l="1"/>
  <c r="K6" i="11" l="1"/>
  <c r="L6" i="11" s="1"/>
  <c r="E29" i="12" s="1"/>
  <c r="H6" i="11"/>
  <c r="I6" i="11" s="1"/>
  <c r="D29" i="12"/>
  <c r="F29" i="12"/>
  <c r="M6" i="11"/>
  <c r="E30" i="12" l="1"/>
  <c r="F52" i="12" s="1"/>
  <c r="G29" i="12"/>
  <c r="G30" i="12"/>
  <c r="O52" i="12" l="1"/>
  <c r="N52" i="12"/>
  <c r="J52" i="12"/>
  <c r="H52" i="12"/>
  <c r="K52" i="12"/>
  <c r="M52" i="12"/>
  <c r="I52" i="12"/>
  <c r="L52" i="12"/>
  <c r="G52" i="12"/>
  <c r="BH9" i="6"/>
  <c r="BH8" i="6"/>
  <c r="BH7" i="6"/>
  <c r="BH3" i="6"/>
  <c r="BG9" i="6"/>
  <c r="BG8" i="6"/>
  <c r="BG7" i="6"/>
  <c r="BG6" i="6"/>
  <c r="BG5" i="6"/>
  <c r="BG4" i="6"/>
  <c r="BG3" i="6"/>
  <c r="BG2" i="6"/>
  <c r="BC9" i="6"/>
  <c r="BC8" i="6"/>
  <c r="BC7" i="6"/>
  <c r="BC6" i="6"/>
  <c r="BC5" i="6"/>
  <c r="BC4" i="6"/>
  <c r="BC3" i="6"/>
  <c r="AX9" i="6"/>
  <c r="AX8" i="6"/>
  <c r="AX7" i="6"/>
  <c r="AX6" i="6"/>
  <c r="AX5" i="6"/>
  <c r="AX4" i="6"/>
  <c r="AX3" i="6"/>
  <c r="AX2" i="6"/>
  <c r="AS9" i="6"/>
  <c r="AW9" i="6" s="1"/>
  <c r="AS8" i="6"/>
  <c r="AW8" i="6" s="1"/>
  <c r="AS7" i="6"/>
  <c r="AW7" i="6" s="1"/>
  <c r="AS6" i="6"/>
  <c r="AW6" i="6" s="1"/>
  <c r="AS5" i="6"/>
  <c r="AS4" i="6"/>
  <c r="AS3" i="6"/>
  <c r="AW3" i="6" s="1"/>
  <c r="AN9" i="6"/>
  <c r="AN8" i="6"/>
  <c r="AN7" i="6"/>
  <c r="AN6" i="6"/>
  <c r="AN5" i="6"/>
  <c r="AN4" i="6"/>
  <c r="AR4" i="6" s="1"/>
  <c r="AN3" i="6"/>
  <c r="AN2" i="6"/>
  <c r="AR2" i="6" s="1"/>
  <c r="AI9" i="6"/>
  <c r="AM9" i="6" s="1"/>
  <c r="AI8" i="6"/>
  <c r="AM8" i="6" s="1"/>
  <c r="AI7" i="6"/>
  <c r="AM7" i="6" s="1"/>
  <c r="AI6" i="6"/>
  <c r="AM6" i="6" s="1"/>
  <c r="AI5" i="6"/>
  <c r="AM5" i="6" s="1"/>
  <c r="AI4" i="6"/>
  <c r="AI3" i="6"/>
  <c r="AI2" i="6"/>
  <c r="AD9" i="6"/>
  <c r="AG9" i="6" s="1"/>
  <c r="AD8" i="6"/>
  <c r="AG8" i="6" s="1"/>
  <c r="AD7" i="6"/>
  <c r="AG7" i="6" s="1"/>
  <c r="AD6" i="6"/>
  <c r="AG6" i="6" s="1"/>
  <c r="AD5" i="6"/>
  <c r="AD4" i="6"/>
  <c r="AD3" i="6"/>
  <c r="Y9" i="6"/>
  <c r="Y8" i="6"/>
  <c r="AC8" i="6" s="1"/>
  <c r="Y7" i="6"/>
  <c r="AC7" i="6" s="1"/>
  <c r="Y6" i="6"/>
  <c r="AC6" i="6" s="1"/>
  <c r="Y5" i="6"/>
  <c r="Y4" i="6"/>
  <c r="Y3" i="6"/>
  <c r="P9" i="6"/>
  <c r="P8" i="6"/>
  <c r="P7" i="6"/>
  <c r="P6" i="6"/>
  <c r="P5" i="6"/>
  <c r="P4" i="6"/>
  <c r="P3" i="6"/>
  <c r="P2" i="6"/>
  <c r="S2" i="6" s="1"/>
  <c r="BA2" i="6" l="1"/>
  <c r="BB2" i="6"/>
  <c r="BB3" i="6"/>
  <c r="BA3" i="6"/>
  <c r="BB7" i="6"/>
  <c r="BA7" i="6"/>
  <c r="BB4" i="6"/>
  <c r="BA4" i="6"/>
  <c r="BA5" i="6"/>
  <c r="BB5" i="6"/>
  <c r="BA9" i="6"/>
  <c r="BB9" i="6"/>
  <c r="L9" i="6"/>
  <c r="O9" i="6" s="1"/>
  <c r="K9" i="6"/>
  <c r="E9" i="6"/>
  <c r="D9" i="6"/>
  <c r="C9" i="6"/>
  <c r="L8" i="6"/>
  <c r="E8" i="6"/>
  <c r="D8" i="6"/>
  <c r="C8" i="6"/>
  <c r="L7" i="6"/>
  <c r="E7" i="6"/>
  <c r="D7" i="6"/>
  <c r="C7" i="6"/>
  <c r="L6" i="6"/>
  <c r="E6" i="6"/>
  <c r="D6" i="6"/>
  <c r="C6" i="6"/>
  <c r="L5" i="6"/>
  <c r="D5" i="6"/>
  <c r="C5" i="6"/>
  <c r="E4" i="6"/>
  <c r="D4" i="6"/>
  <c r="AJ4" i="6" s="1"/>
  <c r="C4" i="6"/>
  <c r="L3" i="6"/>
  <c r="O3" i="6" s="1"/>
  <c r="K3" i="6"/>
  <c r="E3" i="6"/>
  <c r="D3" i="6"/>
  <c r="AJ3" i="6" s="1"/>
  <c r="C3" i="6"/>
  <c r="W9" i="3"/>
  <c r="F9" i="6" s="1"/>
  <c r="I9" i="3"/>
  <c r="L9" i="3" s="1"/>
  <c r="AG9" i="3" s="1"/>
  <c r="D9" i="3"/>
  <c r="F9" i="3" s="1"/>
  <c r="W8" i="3"/>
  <c r="F8" i="6" s="1"/>
  <c r="I8" i="3"/>
  <c r="L8" i="3" s="1"/>
  <c r="AG8" i="3" s="1"/>
  <c r="D8" i="3"/>
  <c r="F8" i="3" s="1"/>
  <c r="W7" i="3"/>
  <c r="F7" i="6" s="1"/>
  <c r="I7" i="3"/>
  <c r="L7" i="3" s="1"/>
  <c r="AG7" i="3" s="1"/>
  <c r="D7" i="3"/>
  <c r="F7" i="3" s="1"/>
  <c r="W6" i="3"/>
  <c r="F6" i="6" s="1"/>
  <c r="I6" i="3"/>
  <c r="L6" i="3" s="1"/>
  <c r="AG6" i="3" s="1"/>
  <c r="D6" i="3"/>
  <c r="F6" i="3" s="1"/>
  <c r="W5" i="3"/>
  <c r="F5" i="6" s="1"/>
  <c r="I5" i="3"/>
  <c r="L5" i="3" s="1"/>
  <c r="AG5" i="3" s="1"/>
  <c r="D5" i="3"/>
  <c r="F5" i="3" s="1"/>
  <c r="W4" i="3"/>
  <c r="I4" i="3"/>
  <c r="L4" i="3" s="1"/>
  <c r="AG4" i="3" s="1"/>
  <c r="D4" i="3"/>
  <c r="F4" i="3" s="1"/>
  <c r="W3" i="3"/>
  <c r="F3" i="6" s="1"/>
  <c r="I3" i="3"/>
  <c r="L3" i="3" s="1"/>
  <c r="AG3" i="3" s="1"/>
  <c r="D3" i="3"/>
  <c r="F3" i="3" s="1"/>
  <c r="L4" i="6"/>
  <c r="L2" i="6"/>
  <c r="K2" i="6"/>
  <c r="E2" i="6"/>
  <c r="D2" i="6"/>
  <c r="AJ2" i="6" s="1"/>
  <c r="C2" i="6"/>
  <c r="C1" i="6"/>
  <c r="BO9" i="6"/>
  <c r="BO8" i="6"/>
  <c r="BO7" i="6"/>
  <c r="BO6" i="6"/>
  <c r="BO5" i="6"/>
  <c r="W30" i="11" s="1"/>
  <c r="BO4" i="6"/>
  <c r="BO3" i="6"/>
  <c r="AV9" i="6"/>
  <c r="AL9" i="6"/>
  <c r="AH9" i="6"/>
  <c r="AB9" i="6"/>
  <c r="BF8" i="6"/>
  <c r="AV8" i="6"/>
  <c r="AO8" i="6"/>
  <c r="AP8" i="6" s="1"/>
  <c r="AQ8" i="6"/>
  <c r="AL8" i="6"/>
  <c r="AH8" i="6"/>
  <c r="AB8" i="6"/>
  <c r="S8" i="6"/>
  <c r="BF7" i="6"/>
  <c r="AV7" i="6"/>
  <c r="AL7" i="6"/>
  <c r="AH7" i="6"/>
  <c r="AB7" i="6"/>
  <c r="O7" i="6"/>
  <c r="AV6" i="6"/>
  <c r="AO6" i="6"/>
  <c r="AP6" i="6" s="1"/>
  <c r="AL6" i="6"/>
  <c r="AH6" i="6"/>
  <c r="AB6" i="6"/>
  <c r="S6" i="6"/>
  <c r="S4" i="6"/>
  <c r="BF5" i="6"/>
  <c r="AV3" i="6"/>
  <c r="AV5" i="6"/>
  <c r="AQ4" i="6"/>
  <c r="BO2" i="6"/>
  <c r="AQ2" i="6"/>
  <c r="BH2" i="6"/>
  <c r="BC2" i="6"/>
  <c r="AS2" i="6"/>
  <c r="AD2" i="6"/>
  <c r="Y2" i="6"/>
  <c r="D2" i="3"/>
  <c r="AC30" i="11" l="1"/>
  <c r="G18" i="12" s="1"/>
  <c r="U30" i="11"/>
  <c r="AA30" i="11"/>
  <c r="F18" i="12" s="1"/>
  <c r="Y30" i="11"/>
  <c r="E18" i="12" s="1"/>
  <c r="AR8" i="6"/>
  <c r="D18" i="12"/>
  <c r="AR6" i="6"/>
  <c r="AK2" i="6"/>
  <c r="AL2" i="6" s="1"/>
  <c r="AM2" i="6"/>
  <c r="AM4" i="6"/>
  <c r="AK4" i="6"/>
  <c r="AL4" i="6" s="1"/>
  <c r="AM3" i="6"/>
  <c r="AK3" i="6"/>
  <c r="AL3" i="6" s="1"/>
  <c r="G4" i="3"/>
  <c r="H4" i="3" s="1"/>
  <c r="H4" i="6" s="1"/>
  <c r="U4" i="6" s="1"/>
  <c r="X4" i="6" s="1"/>
  <c r="G8" i="3"/>
  <c r="H8" i="3" s="1"/>
  <c r="H8" i="6" s="1"/>
  <c r="U8" i="6" s="1"/>
  <c r="X8" i="6" s="1"/>
  <c r="G3" i="3"/>
  <c r="H3" i="3" s="1"/>
  <c r="H3" i="6" s="1"/>
  <c r="G7" i="3"/>
  <c r="H7" i="3" s="1"/>
  <c r="H7" i="6" s="1"/>
  <c r="G6" i="3"/>
  <c r="H6" i="3" s="1"/>
  <c r="H6" i="6" s="1"/>
  <c r="G5" i="3"/>
  <c r="H5" i="3" s="1"/>
  <c r="H5" i="6" s="1"/>
  <c r="U5" i="6" s="1"/>
  <c r="X5" i="6" s="1"/>
  <c r="G9" i="3"/>
  <c r="H9" i="3" s="1"/>
  <c r="H9" i="6" s="1"/>
  <c r="Q9" i="6" s="1"/>
  <c r="R9" i="6" s="1"/>
  <c r="S9" i="6" s="1"/>
  <c r="J8" i="3"/>
  <c r="K8" i="3" s="1"/>
  <c r="J4" i="3"/>
  <c r="K4" i="3" s="1"/>
  <c r="J6" i="3"/>
  <c r="K6" i="3" s="1"/>
  <c r="J3" i="3"/>
  <c r="K3" i="3" s="1"/>
  <c r="J5" i="3"/>
  <c r="K5" i="3" s="1"/>
  <c r="J7" i="3"/>
  <c r="K7" i="3" s="1"/>
  <c r="J9" i="3"/>
  <c r="K9" i="3" s="1"/>
  <c r="BF3" i="6"/>
  <c r="O5" i="6"/>
  <c r="BF9" i="6"/>
  <c r="AC9" i="6"/>
  <c r="BF6" i="6"/>
  <c r="AQ6" i="6"/>
  <c r="AL5" i="6"/>
  <c r="AV4" i="6"/>
  <c r="C18" i="12" l="1"/>
  <c r="M7" i="3"/>
  <c r="P7" i="3" s="1"/>
  <c r="U7" i="6" s="1"/>
  <c r="X7" i="6" s="1"/>
  <c r="M3" i="3"/>
  <c r="N3" i="3" s="1"/>
  <c r="I3" i="6" s="1"/>
  <c r="U3" i="6" s="1"/>
  <c r="X3" i="6" s="1"/>
  <c r="M9" i="3"/>
  <c r="P9" i="3" s="1"/>
  <c r="M5" i="3"/>
  <c r="N5" i="3" s="1"/>
  <c r="I5" i="6" s="1"/>
  <c r="M6" i="3"/>
  <c r="S6" i="3" s="1"/>
  <c r="G5" i="6"/>
  <c r="Z5" i="6" s="1"/>
  <c r="G7" i="6"/>
  <c r="Q7" i="6" s="1"/>
  <c r="R7" i="6" s="1"/>
  <c r="S7" i="6" s="1"/>
  <c r="G8" i="6"/>
  <c r="M8" i="3"/>
  <c r="P8" i="3" s="1"/>
  <c r="M4" i="3"/>
  <c r="N4" i="3" s="1"/>
  <c r="I4" i="6" s="1"/>
  <c r="G9" i="6"/>
  <c r="G6" i="6"/>
  <c r="G3" i="6"/>
  <c r="Z3" i="6" s="1"/>
  <c r="AC3" i="6" s="1"/>
  <c r="G4" i="6"/>
  <c r="Z4" i="6" s="1"/>
  <c r="V5" i="6"/>
  <c r="W5" i="6" s="1"/>
  <c r="V8" i="6"/>
  <c r="W8" i="6" s="1"/>
  <c r="V4" i="6"/>
  <c r="W4" i="6" s="1"/>
  <c r="M8" i="6"/>
  <c r="N8" i="6" s="1"/>
  <c r="O8" i="6" s="1"/>
  <c r="AY8" i="6"/>
  <c r="BI4" i="6"/>
  <c r="BI5" i="6"/>
  <c r="R7" i="3"/>
  <c r="Q7" i="3"/>
  <c r="O7" i="3"/>
  <c r="J7" i="6" s="1"/>
  <c r="R5" i="3"/>
  <c r="Q5" i="3"/>
  <c r="O5" i="3"/>
  <c r="J5" i="6" s="1"/>
  <c r="R3" i="3"/>
  <c r="Q3" i="3"/>
  <c r="O3" i="3"/>
  <c r="J3" i="6" s="1"/>
  <c r="R9" i="3"/>
  <c r="Q9" i="3"/>
  <c r="U9" i="6" s="1"/>
  <c r="X9" i="6" s="1"/>
  <c r="O9" i="3"/>
  <c r="J9" i="6" s="1"/>
  <c r="Q8" i="3"/>
  <c r="O8" i="3"/>
  <c r="J8" i="6" s="1"/>
  <c r="R8" i="3"/>
  <c r="N7" i="3"/>
  <c r="I7" i="6" s="1"/>
  <c r="Q6" i="3"/>
  <c r="O6" i="3"/>
  <c r="J6" i="6" s="1"/>
  <c r="R6" i="3"/>
  <c r="Q4" i="3"/>
  <c r="O4" i="3"/>
  <c r="J4" i="6" s="1"/>
  <c r="R4" i="3"/>
  <c r="P6" i="3" l="1"/>
  <c r="U6" i="6" s="1"/>
  <c r="X6" i="6" s="1"/>
  <c r="S8" i="3"/>
  <c r="AA4" i="6"/>
  <c r="AB4" i="6" s="1"/>
  <c r="AC4" i="6"/>
  <c r="AA5" i="6"/>
  <c r="AB5" i="6" s="1"/>
  <c r="AC5" i="6"/>
  <c r="S9" i="3"/>
  <c r="S7" i="3"/>
  <c r="AZ8" i="6"/>
  <c r="BA8" i="6" s="1"/>
  <c r="BB8" i="6"/>
  <c r="N6" i="3"/>
  <c r="I6" i="6" s="1"/>
  <c r="N8" i="3"/>
  <c r="I8" i="6" s="1"/>
  <c r="S3" i="3"/>
  <c r="BI3" i="6" s="1"/>
  <c r="BJ3" i="6" s="1"/>
  <c r="BK3" i="6" s="1"/>
  <c r="P3" i="3"/>
  <c r="P4" i="3"/>
  <c r="S4" i="3"/>
  <c r="N9" i="3"/>
  <c r="I9" i="6" s="1"/>
  <c r="S5" i="3"/>
  <c r="P5" i="3"/>
  <c r="V9" i="6"/>
  <c r="W9" i="6" s="1"/>
  <c r="V7" i="6"/>
  <c r="W7" i="6" s="1"/>
  <c r="V3" i="6"/>
  <c r="W3" i="6" s="1"/>
  <c r="BJ5" i="6"/>
  <c r="BK5" i="6" s="1"/>
  <c r="BJ4" i="6"/>
  <c r="BK4" i="6" s="1"/>
  <c r="BI9" i="6"/>
  <c r="BI8" i="6"/>
  <c r="BI7" i="6"/>
  <c r="AY6" i="6"/>
  <c r="BI6" i="6"/>
  <c r="BJ6" i="6" s="1"/>
  <c r="W2" i="3"/>
  <c r="V6" i="6" l="1"/>
  <c r="W6" i="6" s="1"/>
  <c r="AZ6" i="6"/>
  <c r="BA6" i="6" s="1"/>
  <c r="BB6" i="6"/>
  <c r="BJ9" i="6"/>
  <c r="BK9" i="6" s="1"/>
  <c r="BJ7" i="6"/>
  <c r="BK7" i="6" s="1"/>
  <c r="BK6" i="6"/>
  <c r="BJ8" i="6"/>
  <c r="BK8" i="6" s="1"/>
  <c r="BL8" i="6" s="1"/>
  <c r="F2" i="6"/>
  <c r="F4" i="6"/>
  <c r="I2" i="3"/>
  <c r="L2" i="3" s="1"/>
  <c r="AG2" i="3" s="1"/>
  <c r="F2" i="3"/>
  <c r="G2" i="3" s="1"/>
  <c r="H2" i="3" l="1"/>
  <c r="C9" i="11"/>
  <c r="G10" i="3" s="1"/>
  <c r="BP8" i="6"/>
  <c r="M6" i="6"/>
  <c r="J2" i="3"/>
  <c r="K2" i="3" s="1"/>
  <c r="M10" i="3" l="1"/>
  <c r="N10" i="3" s="1"/>
  <c r="G10" i="6"/>
  <c r="I9" i="11"/>
  <c r="F9" i="11"/>
  <c r="D9" i="11"/>
  <c r="H9" i="11"/>
  <c r="E9" i="11"/>
  <c r="G9" i="11"/>
  <c r="N6" i="6"/>
  <c r="O6" i="6" s="1"/>
  <c r="AO7" i="6"/>
  <c r="Q3" i="6"/>
  <c r="R3" i="6" s="1"/>
  <c r="S3" i="6" s="1"/>
  <c r="AA3" i="6"/>
  <c r="BW10" i="6" l="1"/>
  <c r="BS10" i="6"/>
  <c r="BT10" i="6" s="1"/>
  <c r="BU10" i="6"/>
  <c r="BV10" i="6" s="1"/>
  <c r="BX10" i="6"/>
  <c r="M10" i="6"/>
  <c r="O10" i="6" s="1"/>
  <c r="AP7" i="6"/>
  <c r="AQ7" i="6" s="1"/>
  <c r="BL7" i="6" s="1"/>
  <c r="AR7" i="6"/>
  <c r="BL6" i="6"/>
  <c r="Z23" i="11" s="1"/>
  <c r="AE5" i="6"/>
  <c r="AO9" i="6"/>
  <c r="M4" i="6"/>
  <c r="N4" i="6" s="1"/>
  <c r="AO3" i="6"/>
  <c r="AR3" i="6" s="1"/>
  <c r="Q5" i="6"/>
  <c r="AB3" i="6"/>
  <c r="X23" i="11" l="1"/>
  <c r="BL10" i="6"/>
  <c r="AP9" i="6"/>
  <c r="AQ9" i="6" s="1"/>
  <c r="BL9" i="6" s="1"/>
  <c r="X30" i="11" s="1"/>
  <c r="AR9" i="6"/>
  <c r="BP6" i="6"/>
  <c r="BP7" i="6"/>
  <c r="AO5" i="6"/>
  <c r="R5" i="6"/>
  <c r="S5" i="6" s="1"/>
  <c r="AH5" i="6"/>
  <c r="AF5" i="6"/>
  <c r="AG5" i="6" s="1"/>
  <c r="BD4" i="6"/>
  <c r="BE4" i="6" s="1"/>
  <c r="BF4" i="6" s="1"/>
  <c r="O4" i="6"/>
  <c r="AP3" i="6"/>
  <c r="AQ3" i="6" s="1"/>
  <c r="AT4" i="6"/>
  <c r="AW4" i="6" s="1"/>
  <c r="AE3" i="6"/>
  <c r="AE4" i="6"/>
  <c r="AT5" i="6"/>
  <c r="AW5" i="6" s="1"/>
  <c r="AB23" i="11" l="1"/>
  <c r="BP10" i="6"/>
  <c r="AH3" i="6"/>
  <c r="AF3" i="6"/>
  <c r="AG3" i="6" s="1"/>
  <c r="AP5" i="6"/>
  <c r="AQ5" i="6" s="1"/>
  <c r="BL5" i="6" s="1"/>
  <c r="AR5" i="6"/>
  <c r="Z30" i="11"/>
  <c r="F14" i="12" s="1"/>
  <c r="AB30" i="11"/>
  <c r="G14" i="12" s="1"/>
  <c r="E14" i="12"/>
  <c r="BP9" i="6"/>
  <c r="AH4" i="6"/>
  <c r="AF4" i="6"/>
  <c r="AG4" i="6" s="1"/>
  <c r="BL4" i="6" s="1"/>
  <c r="BP4" i="6" l="1"/>
  <c r="T30" i="11"/>
  <c r="C14" i="12" s="1"/>
  <c r="V30" i="11"/>
  <c r="D14" i="12" s="1"/>
  <c r="BP5" i="6"/>
  <c r="BL3" i="6" l="1"/>
  <c r="V23" i="11" s="1"/>
  <c r="D13" i="12" l="1"/>
  <c r="D15" i="12" s="1"/>
  <c r="E13" i="12"/>
  <c r="F13" i="12"/>
  <c r="BP3" i="6"/>
  <c r="D17" i="12" l="1"/>
  <c r="D21" i="12" s="1"/>
  <c r="I51" i="12" s="1"/>
  <c r="I61" i="12" s="1"/>
  <c r="F17" i="12"/>
  <c r="F21" i="12" s="1"/>
  <c r="M51" i="12" s="1"/>
  <c r="F15" i="12"/>
  <c r="E17" i="12"/>
  <c r="E21" i="12" s="1"/>
  <c r="K51" i="12" s="1"/>
  <c r="E15" i="12"/>
  <c r="M61" i="12" l="1"/>
  <c r="K61" i="12"/>
  <c r="R2" i="3" l="1"/>
  <c r="M2" i="3"/>
  <c r="P2" i="3" s="1"/>
  <c r="G2" i="6"/>
  <c r="Z2" i="6" s="1"/>
  <c r="AC2" i="6" l="1"/>
  <c r="AA2" i="6"/>
  <c r="S2" i="3"/>
  <c r="BI2" i="6" s="1"/>
  <c r="BJ2" i="6" s="1"/>
  <c r="BK2" i="6" s="1"/>
  <c r="AB2" i="6"/>
  <c r="M2" i="6"/>
  <c r="H2" i="6"/>
  <c r="Q2" i="3"/>
  <c r="N2" i="3"/>
  <c r="I2" i="6" s="1"/>
  <c r="O2" i="3"/>
  <c r="J2" i="6" s="1"/>
  <c r="BD2" i="6" l="1"/>
  <c r="BE2" i="6" s="1"/>
  <c r="BF2" i="6" s="1"/>
  <c r="N2" i="6"/>
  <c r="O2" i="6" s="1"/>
  <c r="AT2" i="6"/>
  <c r="AW2" i="6" s="1"/>
  <c r="U2" i="6"/>
  <c r="X2" i="6" s="1"/>
  <c r="AF2" i="6" l="1"/>
  <c r="AG2" i="6" s="1"/>
  <c r="AH2" i="6"/>
  <c r="AU2" i="6"/>
  <c r="AV2" i="6" s="1"/>
  <c r="V2" i="6"/>
  <c r="W2" i="6" s="1"/>
  <c r="BL2" i="6" l="1"/>
  <c r="T23" i="11" s="1"/>
  <c r="C13" i="12" s="1"/>
  <c r="BP2" i="6" l="1"/>
  <c r="G13" i="12"/>
  <c r="L57" i="12"/>
  <c r="L61" i="12" s="1"/>
  <c r="M62" i="12" s="1"/>
  <c r="M63" i="12" s="1"/>
  <c r="J30" i="11" s="1"/>
  <c r="N57" i="12"/>
  <c r="N61" i="12" s="1"/>
  <c r="C17" i="12"/>
  <c r="C21" i="12" s="1"/>
  <c r="G51" i="12" s="1"/>
  <c r="F57" i="12"/>
  <c r="F61" i="12" s="1"/>
  <c r="J57" i="12"/>
  <c r="J61" i="12" s="1"/>
  <c r="K62" i="12" s="1"/>
  <c r="K63" i="12" s="1"/>
  <c r="G30" i="11" s="1"/>
  <c r="C15" i="12"/>
  <c r="H57" i="12"/>
  <c r="H61" i="12" s="1"/>
  <c r="I62" i="12" s="1"/>
  <c r="I63" i="12" s="1"/>
  <c r="D30" i="11" s="1"/>
  <c r="G17" i="12" l="1"/>
  <c r="G21" i="12" s="1"/>
  <c r="O51" i="12" s="1"/>
  <c r="O61" i="12" s="1"/>
  <c r="G15" i="12"/>
  <c r="G61" i="12"/>
  <c r="G62" i="12" s="1"/>
  <c r="G63" i="12" s="1"/>
  <c r="B30" i="11" s="1"/>
  <c r="D28" i="11"/>
  <c r="H59" i="11" s="1"/>
  <c r="H65" i="11" s="1"/>
  <c r="E59" i="11"/>
  <c r="E65" i="11" s="1"/>
  <c r="D26" i="11"/>
  <c r="I59" i="11" s="1"/>
  <c r="J65" i="11" s="1"/>
  <c r="J28" i="11"/>
  <c r="H61" i="11" s="1"/>
  <c r="H67" i="11" s="1"/>
  <c r="E61" i="11"/>
  <c r="E67" i="11" s="1"/>
  <c r="J26" i="11"/>
  <c r="I61" i="11" s="1"/>
  <c r="J67" i="11" s="1"/>
  <c r="G26" i="11"/>
  <c r="I60" i="11" s="1"/>
  <c r="J66" i="11" s="1"/>
  <c r="E60" i="11"/>
  <c r="E66" i="11" s="1"/>
  <c r="G28" i="11"/>
  <c r="H60" i="11" s="1"/>
  <c r="H66" i="11" s="1"/>
  <c r="O62" i="12" l="1"/>
  <c r="O63" i="12" s="1"/>
  <c r="M30" i="11" s="1"/>
  <c r="F67" i="11"/>
  <c r="I66" i="11"/>
  <c r="I67" i="11"/>
  <c r="I65" i="11"/>
  <c r="E58" i="11"/>
  <c r="E64" i="11" s="1"/>
  <c r="B26" i="11"/>
  <c r="I58" i="11" s="1"/>
  <c r="J64" i="11" s="1"/>
  <c r="B28" i="11"/>
  <c r="H58" i="11" s="1"/>
  <c r="H64" i="11" s="1"/>
  <c r="F65" i="11"/>
  <c r="F66" i="11"/>
  <c r="M26" i="11" l="1"/>
  <c r="I62" i="11" s="1"/>
  <c r="J68" i="11" s="1"/>
  <c r="J69" i="11" s="1"/>
  <c r="E62" i="11"/>
  <c r="E68" i="11" s="1"/>
  <c r="F68" i="11" s="1"/>
  <c r="M28" i="11"/>
  <c r="H62" i="11" s="1"/>
  <c r="H68" i="11" s="1"/>
  <c r="I68" i="11" s="1"/>
  <c r="I64" i="11"/>
  <c r="F64" i="11"/>
  <c r="F69" i="11" l="1"/>
  <c r="E69" i="11"/>
  <c r="H69" i="11"/>
  <c r="I69" i="11"/>
  <c r="J70" i="11" s="1"/>
  <c r="I76" i="11" s="1"/>
  <c r="E70" i="11" l="1"/>
  <c r="E76" i="11" s="1"/>
  <c r="H70" i="11"/>
  <c r="H76" i="11" s="1"/>
  <c r="H73" i="11"/>
  <c r="H74" i="11"/>
  <c r="E73" i="11"/>
  <c r="E74" i="11"/>
  <c r="I73" i="11"/>
  <c r="I74" i="11"/>
  <c r="E77" i="11"/>
  <c r="E75" i="11"/>
  <c r="H77" i="11"/>
  <c r="H75" i="11"/>
  <c r="I77" i="11"/>
  <c r="I75" i="11"/>
</calcChain>
</file>

<file path=xl/comments1.xml><?xml version="1.0" encoding="utf-8"?>
<comments xmlns="http://schemas.openxmlformats.org/spreadsheetml/2006/main">
  <authors>
    <author>Lavoie Gilles (DRL) (Blainville)</author>
  </authors>
  <commentList>
    <comment ref="G44" authorId="0">
      <text>
        <r>
          <rPr>
            <sz val="9"/>
            <color indexed="81"/>
            <rFont val="Tahoma"/>
            <family val="2"/>
          </rPr>
          <t xml:space="preserve">Si vous mettez "0" comme coût, la valeur par défaut pour les calculs sera de 180$/tonne.
Si la valeur de la litière est presque nul, mettre 0,01$.
</t>
        </r>
      </text>
    </comment>
  </commentList>
</comments>
</file>

<file path=xl/comments2.xml><?xml version="1.0" encoding="utf-8"?>
<comments xmlns="http://schemas.openxmlformats.org/spreadsheetml/2006/main">
  <authors>
    <author>Lavoie Gilles (DRL) (Blainville)</author>
  </authors>
  <commentList>
    <comment ref="G21" authorId="0">
      <text>
        <r>
          <rPr>
            <sz val="9"/>
            <color indexed="81"/>
            <rFont val="Tahoma"/>
            <family val="2"/>
          </rPr>
          <t xml:space="preserve">Ajusté pour mettre à zéro si mauvaise saisie.
</t>
        </r>
      </text>
    </comment>
    <comment ref="O63" authorId="0">
      <text>
        <r>
          <rPr>
            <sz val="9"/>
            <color indexed="81"/>
            <rFont val="Tahoma"/>
            <family val="2"/>
          </rPr>
          <t xml:space="preserve">Pour éviter un calcul erroné en cas de mauvaise saisie des choix autre que les lettres majuscules : A,B,C,D,E,F,G,H,I. 
</t>
        </r>
      </text>
    </comment>
  </commentList>
</comments>
</file>

<file path=xl/sharedStrings.xml><?xml version="1.0" encoding="utf-8"?>
<sst xmlns="http://schemas.openxmlformats.org/spreadsheetml/2006/main" count="456" uniqueCount="358">
  <si>
    <t>BREBIS</t>
  </si>
  <si>
    <t>NBRE JOURS PÂTURÉS</t>
  </si>
  <si>
    <t>BESOINS TOTAUX (kg ms)</t>
  </si>
  <si>
    <t>RENDEMENT PÂTURAGE (kg ms/ha)</t>
  </si>
  <si>
    <t>SUPERFICIE À CLÔTURER (ha)</t>
  </si>
  <si>
    <t>CLÔTURE PÉRIPHÉRIE (m)</t>
  </si>
  <si>
    <t>CLÔTURE DIVISION (m)</t>
  </si>
  <si>
    <t>RENDEMENTS MOYENS ESTIMÉS À 89% ms (tms/ha)</t>
  </si>
  <si>
    <t>NOMBRE DE TMS PAR CYCLE DE 5 ANS</t>
  </si>
  <si>
    <t>NOMBRE DE TMS PAR CYCLE DE 4 ANS</t>
  </si>
  <si>
    <t>COÛTS 5 ANS ($/tms)</t>
  </si>
  <si>
    <t>COÛTS 4 ANS ($/tms)</t>
  </si>
  <si>
    <t>COÛT BROCHE GALVANISÉE T90102, cl.3, 12.5 ga. Rouleau de 610 m L</t>
  </si>
  <si>
    <t>COÛT BROCHE CARRELÉE POUR MOUTON 9 BRINS ROULEAU DE 100 m</t>
  </si>
  <si>
    <t>COÛT ISOLATEUR DE COINS BLANCS G67814 (25/sac)</t>
  </si>
  <si>
    <t>COÛT ISOLATEUR DE LIGNE POUR PIQUETS DE BOIS G67304 (25/sac)</t>
  </si>
  <si>
    <t>TENDEUR DE BROCHE G64304 (25/bte)</t>
  </si>
  <si>
    <t>COÛT ATTACHES T61003 POUR UNIR LES BROCHES (10/sac)</t>
  </si>
  <si>
    <t>COÛT ATTACHES G70400 POUR PIQUETS FIBRE DE VERRE (100/sac)</t>
  </si>
  <si>
    <t>COÛT ATTACHES G70400 POUR POTEAUX AFRP60 (100/sac)</t>
  </si>
  <si>
    <t>COÛT CRAMPES (sac de 8 lbs)</t>
  </si>
  <si>
    <t>COÛT JOINTS DE CONNECTION GALVANISÉS T60303 (10/bte)</t>
  </si>
  <si>
    <t>COÛT PIQUETS DE BOIS ESPACÉS 7,34 m</t>
  </si>
  <si>
    <t>COÛT PIQUETS DE BOIS ESPACÉS 7,5 m</t>
  </si>
  <si>
    <t>COÛT PIQUETS DE BOIS ESPACÉS 3,6 m</t>
  </si>
  <si>
    <t>COÛT PIQUETS FIBRE DE VERRE 60'' AFRP60 (10/bte)</t>
  </si>
  <si>
    <t>LONGUEUR CLÔTURE PÉRIPHÉRIE (m)</t>
  </si>
  <si>
    <t>LONGUEUR BROCHE NÉCESSAIRE À 5 BROCHES CLÔT. PÉRIPHÉRIE ( m)</t>
  </si>
  <si>
    <t>LONGUEUR BROCHE NÉCESSAIRE À 3 BROCHES CLÔT. DIVISION (m)</t>
  </si>
  <si>
    <t>LONGUEUR BROCHE CARRELÉE 100 m CLÔT. PÉRIPHÉRIE</t>
  </si>
  <si>
    <t>LONGUEUR BROCHE  CARRELÉE 100 m CLÔT. DIVISION</t>
  </si>
  <si>
    <t>UNITÉ DE 100 m L CLÔTURE DIVISION 3 BROCHES GALV. ÉLEC. 610 m</t>
  </si>
  <si>
    <t xml:space="preserve">UNITÉ DE 100 m L CLÔTURE PÉRIPHÉRIE 5 BROCHES GALV. DONT 3 ÉLEC. </t>
  </si>
  <si>
    <t>TEMPS POSE AUX 100 m PIQUETS BOIS CL. PÉRIPHÉRIE 5 BROCHES GALV. DONT 3 ÉLEC. (HRES)</t>
  </si>
  <si>
    <t>TEMPS POSE AUX 100 m POTEAUX BOIS CL. DIVISION 3 BROCHES GALV. ÉLECT. (HRES)</t>
  </si>
  <si>
    <t>TEMPS POSE AUX 100 m POTEAUX BOIS CL. PÉRIPH. BROCHE CARRE. 100 m (HRES)</t>
  </si>
  <si>
    <t>TEMPS POSE AUX 100 m POTEAUX BOIS CL. DIVISION BROCHE CARRE. 100 m (HRES)</t>
  </si>
  <si>
    <t>TEMPS POSE AUX 100 m PIQUETS FIBRE VERRE CL. DIVISION BROCHE CARRE. 100 m (HRES)</t>
  </si>
  <si>
    <t>TEMPS POSE AUX 100 m PIQUETS FIBRE VERRE CL. DIVISION A 3 BROCHES GALV. ÉLECT. 610 m</t>
  </si>
  <si>
    <t>TEMPS POSE AUX 100 m PIQUETS FIBRE VERRE CL. PÉRIPHÉRIE BROCHE CARREL. 100 m</t>
  </si>
  <si>
    <t>TEMPS POSE AUX 100 m PIQUETS FIBRE VERRE CL. PÉRIPHÉRIE A 5 BROCHES GALV. DONT 3 ÉLECT. 610 m</t>
  </si>
  <si>
    <t xml:space="preserve">ALTERNATIVES </t>
  </si>
  <si>
    <t>Piquet Fibre de verre</t>
  </si>
  <si>
    <t>$ Isolateur</t>
  </si>
  <si>
    <t>Nbre rouleaux broche</t>
  </si>
  <si>
    <t>$ Broche</t>
  </si>
  <si>
    <t>Nbre Piquets de bois requis</t>
  </si>
  <si>
    <t>Prix Broche</t>
  </si>
  <si>
    <t>Nbre Tendeur</t>
  </si>
  <si>
    <t>$ Tendeur</t>
  </si>
  <si>
    <t>Nbre Attaches</t>
  </si>
  <si>
    <t>$ Attaches</t>
  </si>
  <si>
    <t>Nbre Joints Connection</t>
  </si>
  <si>
    <t>$ Joints de connection</t>
  </si>
  <si>
    <t>Total hres temps de pose</t>
  </si>
  <si>
    <t>$ Entretien Annuel</t>
  </si>
  <si>
    <t>Prix Tendeurs</t>
  </si>
  <si>
    <t>Prix Joints Connection</t>
  </si>
  <si>
    <t>Heures Entretien Annuel</t>
  </si>
  <si>
    <t>Prix/hre Entretien</t>
  </si>
  <si>
    <t>Nbre livres crampes/100 m broche carrelé</t>
  </si>
  <si>
    <t>Nbre sacs de crampes</t>
  </si>
  <si>
    <t>Prix sac de 8 lbs crampes</t>
  </si>
  <si>
    <t>$ Sacs de crampes</t>
  </si>
  <si>
    <t>ARRONDI</t>
  </si>
  <si>
    <t>$ Piquet arrondi</t>
  </si>
  <si>
    <t>$ Piquet fibre de verre arrondi</t>
  </si>
  <si>
    <t>$ Rouleaux broche</t>
  </si>
  <si>
    <t>$ Tendeur arrondi</t>
  </si>
  <si>
    <t>$ Attaches Arrondi</t>
  </si>
  <si>
    <t>$ Joints connection Arrondi</t>
  </si>
  <si>
    <t>$ Sacs de crampes Arrondi</t>
  </si>
  <si>
    <t>$ Isolateur de ligne Arrondi</t>
  </si>
  <si>
    <t>$ Temps de pose Arrondi</t>
  </si>
  <si>
    <t>$ SOUS TOTAL ARRONDI</t>
  </si>
  <si>
    <t>A</t>
  </si>
  <si>
    <t>B</t>
  </si>
  <si>
    <t>C</t>
  </si>
  <si>
    <t>D</t>
  </si>
  <si>
    <t>E</t>
  </si>
  <si>
    <t>F</t>
  </si>
  <si>
    <t>Clôture Division 3 broches galvanisées électrifiées (Piquets bois)</t>
  </si>
  <si>
    <t xml:space="preserve"> Clôture Périphérie 5 broches galvanisées dont 3 électrifiées (Piquet fibre de verre)</t>
  </si>
  <si>
    <t>Clôture Périphérie 5 broches galvanisées dont 3 électrifiées (Piquet bois)</t>
  </si>
  <si>
    <t>Clôture Périphérie en broches carrelées 100 m longueur (Piquets Fibre de verre)</t>
  </si>
  <si>
    <t>G</t>
  </si>
  <si>
    <t>Clôture Division en broches carrelées 100 m longueur (Piquet bois)</t>
  </si>
  <si>
    <t>H</t>
  </si>
  <si>
    <t>Clôture Division en broches carrelées 100 m longueur (Piquet Fibre de verre)</t>
  </si>
  <si>
    <t>Jrs pâturés</t>
  </si>
  <si>
    <t>Rendement Pâturage</t>
  </si>
  <si>
    <t>Prix Piquets de bois</t>
  </si>
  <si>
    <t>Longueur clôture périphérie</t>
  </si>
  <si>
    <t>Longueur Clôture Division</t>
  </si>
  <si>
    <t>Prix Attaches piquet fibre de verre</t>
  </si>
  <si>
    <t>No</t>
  </si>
  <si>
    <t>Heures Temps de pose Arrondi</t>
  </si>
  <si>
    <t>ALTERNATIVE</t>
  </si>
  <si>
    <t>NBRE JOURS PÂTURÉS (jours)</t>
  </si>
  <si>
    <t>RENDEMENTS FOURRAGES ESTIMÉS À 89% ms (tms/ha)</t>
  </si>
  <si>
    <t>COÛTS DE PRODUCTION DES PÂTURAGES                 ($/tms)</t>
  </si>
  <si>
    <t>RENDEMENTS PÂTURAGE ESTIMÉS À 89% m.s                (kg ms/ha)</t>
  </si>
  <si>
    <t>FOURRAGES, NOMBRE DE TMS PAR CYCLE DE 4 ANS (TMS)</t>
  </si>
  <si>
    <t>COÛTS DE PRODUCTION DES FOURAGES                   ($/tms)</t>
  </si>
  <si>
    <t>LONGUEUR CLÔTURE PÉRIPHÉRIE             (m)</t>
  </si>
  <si>
    <t xml:space="preserve">  PÉRIPHÉRIE,                5 BROCHES, LONGUEUR  BROCHE NÉCESSAIRE                          ( m)</t>
  </si>
  <si>
    <t>DIVISIONS,                                    3 BROCHES, LONGUEUR BROCHE NÉCESSAIRE                               (m)</t>
  </si>
  <si>
    <t>PÉRIPHÉRIE, CARRELÉE, UNITÉS NÉCESSAIRES DE  100 m DE LONGUEUR (unités de 100 mètres de long)</t>
  </si>
  <si>
    <t xml:space="preserve">DIVISIONS,                                    LONGUEUR BROCHE  CARRELÉE 100 m,                 (unités de 100 mètres de long))  </t>
  </si>
  <si>
    <t>DIVISIONS, 3 BROCHES GALV. ÉLEC.                  (unités de 100 mètres)</t>
  </si>
  <si>
    <t xml:space="preserve">PÉRIPHÉRIE 5 BROCHES, (unités de 100 mètres de long) </t>
  </si>
  <si>
    <t>PÉRIPHÉRIE, 5 BROCHES, DISTANCES ENTRE LES PIQUETS DE BOIS OU DE FIBRE DE VERRE                 (mètres)</t>
  </si>
  <si>
    <t>DIVISIONS 3 BROCHES OU PÉRIPHÉRIE ET DIVISIONS EN BROCHE CARRELÉE, DISTANCE ENTRE LES PIQUETS DE BOIS                 (mètres)</t>
  </si>
  <si>
    <t>LIVRES DE  CRAMPES PAR 100 m DE BROCHE CARRELÉE                                (livres)</t>
  </si>
  <si>
    <t>PÉRIPHÉRIE, 5 BROCHES, TEMPS POSE AUX 100 m PIQUETS BOIS (heures)</t>
  </si>
  <si>
    <t>DIVISIONS, 3 BROCHES, TEMPS POSE AUX 100 m PIQUETS DE BOIS                 (heures)</t>
  </si>
  <si>
    <t>DIVISIONS, 3 BROCHES, TEMPS POSE AUX 100 m PIQUETS DE FIBRE DE VERRE                                 (heures)</t>
  </si>
  <si>
    <t>PÉRIPHÉRIE, CARRELÉE, TEMPS POSE AUX 100 m PIQUETS DE FIBRE DE VERRE                 (heures)</t>
  </si>
  <si>
    <t>PÉRIPHÉRIE, CARRELÉE, TEMPS POSE AUX 100 m PIQUETS DE BOIS                 (heures)</t>
  </si>
  <si>
    <t>PÉRIPHÉRIE, 5 BROCHES, TEMPS POSE AUX 100 m PIQUETS DE FIBRE DE VERRE                                 (heures)</t>
  </si>
  <si>
    <t>COÛTS TEMPS DE POSE             ($/heure)</t>
  </si>
  <si>
    <t>COÛTS PIQUETS DE BOIS ($/piquet)</t>
  </si>
  <si>
    <t>COÛT ATTACHES G67304 POUR ISOLATEURS DE LIGNE PIQUETS DE BOIS (100/sac)</t>
  </si>
  <si>
    <t>BROCHE CARRELÉE, COÛT CRAMPES                                                                                 (sac de 8 lbs)</t>
  </si>
  <si>
    <t>COÛT PIQUETS FIBRE DE VERRE 60'' AFRP60 ($/boite de 10 piquets)</t>
  </si>
  <si>
    <t>DISTANCE 7,34 m ENTRE LES PIQUETS</t>
  </si>
  <si>
    <t>DISTANCE 7,50 m ENTRE LES PIQUETS</t>
  </si>
  <si>
    <t>DISTANCE 3,60 m ENTRE LES PIQUETS DE FIBRE VERRE</t>
  </si>
  <si>
    <t xml:space="preserve">BROCHE CARRELÉE, LIVRES DE CRAMPES/100 m </t>
  </si>
  <si>
    <t>Nbre Isolateurs de ligne p. de bois</t>
  </si>
  <si>
    <t>Prix Isolateurs de coin blanc</t>
  </si>
  <si>
    <t>Nbre Isolateurs de coin blanc</t>
  </si>
  <si>
    <t>Prix attaches pour unir les broches</t>
  </si>
  <si>
    <t>Clôture Division 3 broches galvanisées électrifiées (Piquets Fibre de verre)</t>
  </si>
  <si>
    <t>Prix Isolateur de ligne piquets de bois</t>
  </si>
  <si>
    <t>Temps de pose                       ($/heure)</t>
  </si>
  <si>
    <t>Nbre de boîte de 10 piquets de fibre de verre</t>
  </si>
  <si>
    <t>Clôture Périphérie en broches carrelées 100 m longueur (Piquets bois)</t>
  </si>
  <si>
    <t>PÉRIPHÉRIE OU DIVISIONS, CARRELÉE, DISTANCE ENTRE LES PIQUETS EN FIBRE VERRE                 (mètres)</t>
  </si>
  <si>
    <t>COÛT ATTACHES G70400 POUR PIQUETS FIBRE DE VERRE                                (100/sac)</t>
  </si>
  <si>
    <t>$ SOUS TOTAL ARRONDI INCLUANT ENTRETIEN</t>
  </si>
  <si>
    <t>3.        Alimentation en eau et électrification</t>
  </si>
  <si>
    <t>Amortissement</t>
  </si>
  <si>
    <t>Par année</t>
  </si>
  <si>
    <t>Prévoir</t>
  </si>
  <si>
    <t>pour l'eau</t>
  </si>
  <si>
    <t>ans</t>
  </si>
  <si>
    <t>Prévoir en +</t>
  </si>
  <si>
    <t>si solaire</t>
  </si>
  <si>
    <t>Électrificateur</t>
  </si>
  <si>
    <t>4.      Coûts annuels de la clôture incluant l’électrificateur, l’eau et l’entretien annuel :</t>
  </si>
  <si>
    <t>Valeur des hypothèses sans les formules</t>
  </si>
  <si>
    <t>Investissements ($)</t>
  </si>
  <si>
    <t>Amortissement (ans)</t>
  </si>
  <si>
    <t>Amortissement ($)</t>
  </si>
  <si>
    <t>Électrificateur ($) 25 ans</t>
  </si>
  <si>
    <t>Eau ($) sur 10 ans</t>
  </si>
  <si>
    <t>Totaux coûts annuels ($)</t>
  </si>
  <si>
    <t>Tract. ($/hr)</t>
  </si>
  <si>
    <t>Vtt ($/heure)</t>
  </si>
  <si>
    <t>Litière en (kg/jour/tête)</t>
  </si>
  <si>
    <t>Litière ($/t)</t>
  </si>
  <si>
    <t>Item</t>
  </si>
  <si>
    <t>Hypothèse de pâturage</t>
  </si>
  <si>
    <t>Quantité</t>
  </si>
  <si>
    <t>($)</t>
  </si>
  <si>
    <t>Quantité servie (tonnes de m.s) et ($)</t>
  </si>
  <si>
    <t>Alimentation perte (%) et ($)</t>
  </si>
  <si>
    <t>Travail en minutes par jour et ($)</t>
  </si>
  <si>
    <t xml:space="preserve">Tracteur min. par jour ou vtt ($/jour) </t>
  </si>
  <si>
    <t>ou charriot distributeur ($/jour)</t>
  </si>
  <si>
    <t>Travail paillage min/jour et ($)</t>
  </si>
  <si>
    <t>Traitements vermifuges(1) ($/brebis)</t>
  </si>
  <si>
    <t>Vaccins contre la rage ($/brebis)</t>
  </si>
  <si>
    <t>Vaccins contre le piétin(2)</t>
  </si>
  <si>
    <t>5.      Calcul finaux pour 150 jours dans le cas de l’hypothèse 1 (suite)</t>
  </si>
  <si>
    <t>m3 de fumier /brebis et suite/année :</t>
  </si>
  <si>
    <t>Jours pâtur.</t>
  </si>
  <si>
    <t xml:space="preserve">m3 de fumier produit </t>
  </si>
  <si>
    <t>Coût d'épandage /m3 :</t>
  </si>
  <si>
    <t>Source : CRAAQ, Charges fertilisantes des effluents d'élevage, période transitoire, valeurs de référence, mai 2003. Coûts d'épandage CRAAQ 2014.</t>
  </si>
  <si>
    <t>Valeurs sans les formules de chacune des hypothèses reportées manuellement</t>
  </si>
  <si>
    <t xml:space="preserve">Différences de coûts entre les deux systèmes </t>
  </si>
  <si>
    <t>Hypothèse</t>
  </si>
  <si>
    <t>Clôture annuelle ($)</t>
  </si>
  <si>
    <t>Fourrages incluant les pertes totales ($)</t>
  </si>
  <si>
    <t>Travail entre les deux systèmes ($)</t>
  </si>
  <si>
    <t>Tracteur et charriot distributeur vs vtt ($)</t>
  </si>
  <si>
    <t>Épandage de fumier ($)</t>
  </si>
  <si>
    <t>Litière ($)</t>
  </si>
  <si>
    <t>Intérêts sur les investissements totaux pâturage (3%, 10 ans),($)</t>
  </si>
  <si>
    <t>Traitements vermifuges en ($/brebis)</t>
  </si>
  <si>
    <t>Vaccins contre la rage en ($/brebis)</t>
  </si>
  <si>
    <t>Traitements contre le piétin en ($/brebis)</t>
  </si>
  <si>
    <t>Total</t>
  </si>
  <si>
    <t>Différence totale ($)</t>
  </si>
  <si>
    <t>Litière en kg (0,15 par brebis/jour) et $ total</t>
  </si>
  <si>
    <r>
      <t>Vermifuges</t>
    </r>
    <r>
      <rPr>
        <vertAlign val="superscript"/>
        <sz val="11"/>
        <color theme="1"/>
        <rFont val="Calibri"/>
        <family val="2"/>
        <scheme val="minor"/>
      </rPr>
      <t>(1)</t>
    </r>
    <r>
      <rPr>
        <sz val="11"/>
        <color theme="1"/>
        <rFont val="Calibri"/>
        <family val="2"/>
        <scheme val="minor"/>
      </rPr>
      <t xml:space="preserve"> : traitement moyen du 1/3 du nombre de brebis total des 3 groupes soit 100 brebis</t>
    </r>
  </si>
  <si>
    <r>
      <t>Piétin</t>
    </r>
    <r>
      <rPr>
        <vertAlign val="superscript"/>
        <sz val="11"/>
        <color theme="1"/>
        <rFont val="Calibri"/>
        <family val="2"/>
        <scheme val="minor"/>
      </rPr>
      <t>(2)</t>
    </r>
    <r>
      <rPr>
        <sz val="11"/>
        <color theme="1"/>
        <rFont val="Calibri"/>
        <family val="2"/>
        <scheme val="minor"/>
      </rPr>
      <t>:  traitement moyen du 1/3 du nombre de brebis total des 3 groupes soit 100 brebis</t>
    </r>
  </si>
  <si>
    <t>Bergerie</t>
  </si>
  <si>
    <t>Pâturage</t>
  </si>
  <si>
    <t>Avantage par brebis ($/brebis)</t>
  </si>
  <si>
    <t>Entretien ($)</t>
  </si>
  <si>
    <t>Clôture de périphérie 5 broches, piquets de bois</t>
  </si>
  <si>
    <t>Clôture de périphérie 5 broches, piquets de fibre de verre</t>
  </si>
  <si>
    <t>Clôture de périphérie broche carrelée, piquets de bois</t>
  </si>
  <si>
    <t>Clôture de périphérie broche carrelée, piquets de fibre de verre</t>
  </si>
  <si>
    <t>Clôture de divisions 3 broches, piquets de bois</t>
  </si>
  <si>
    <t>Clôture de divisions broche carrelée, piquets de bois</t>
  </si>
  <si>
    <t>Clôture de divisions broche carrelée, piquets de fibre de verre</t>
  </si>
  <si>
    <t>Choix clôture périphérique :</t>
  </si>
  <si>
    <t>Choix clôture division :</t>
  </si>
  <si>
    <t>Clôture de divisions 3 broches, piquets de fibre de verre</t>
  </si>
  <si>
    <t>hypothèse 1</t>
  </si>
  <si>
    <t>hypothèse 2</t>
  </si>
  <si>
    <t>hypothèse 3</t>
  </si>
  <si>
    <t>hypothèse 4</t>
  </si>
  <si>
    <t>hypothèses</t>
  </si>
  <si>
    <t>hypothèse 5</t>
  </si>
  <si>
    <t>total</t>
  </si>
  <si>
    <t>x</t>
  </si>
  <si>
    <t>$/brebis</t>
  </si>
  <si>
    <t>Coût total au pâturage :</t>
  </si>
  <si>
    <t>I</t>
  </si>
  <si>
    <t>(Aucun)</t>
  </si>
  <si>
    <t>moyenne</t>
  </si>
  <si>
    <t>Tot.</t>
  </si>
  <si>
    <t>Montant $</t>
  </si>
  <si>
    <t>Option 1</t>
  </si>
  <si>
    <t>Option 2</t>
  </si>
  <si>
    <t>Option 3</t>
  </si>
  <si>
    <t>Option 4</t>
  </si>
  <si>
    <t>Option 5</t>
  </si>
  <si>
    <t>Étape 2 (choix de clôtures)</t>
  </si>
  <si>
    <t>SVP CHOISISSEZ VOS OPTIONS - CASES JAUNES SEULEMENT</t>
  </si>
  <si>
    <t>CLÔTURE PÉRIPHÉRIE  si données du producteur sinon mettre zéro                   (m)</t>
  </si>
  <si>
    <t>Temps de pose</t>
  </si>
  <si>
    <t>Distance des piquets</t>
  </si>
  <si>
    <t>calcul :</t>
  </si>
  <si>
    <t>Coût isolateur</t>
  </si>
  <si>
    <t>a</t>
  </si>
  <si>
    <t>b</t>
  </si>
  <si>
    <t>c</t>
  </si>
  <si>
    <t>d</t>
  </si>
  <si>
    <t>e</t>
  </si>
  <si>
    <t>f</t>
  </si>
  <si>
    <t>(kg)</t>
  </si>
  <si>
    <t>poids vif</t>
  </si>
  <si>
    <t>% du poids vif</t>
  </si>
  <si>
    <t>(%)</t>
  </si>
  <si>
    <t>(kg/jour)</t>
  </si>
  <si>
    <t>ingérée</t>
  </si>
  <si>
    <t>Matière sèche</t>
  </si>
  <si>
    <t>par le producteur</t>
  </si>
  <si>
    <t>Alimentation en eau et électrification</t>
  </si>
  <si>
    <t>producteur</t>
  </si>
  <si>
    <t>Coût estimé</t>
  </si>
  <si>
    <t>Coût réel</t>
  </si>
  <si>
    <t>pour calculs</t>
  </si>
  <si>
    <t>Coût litière</t>
  </si>
  <si>
    <t>$/tonne</t>
  </si>
  <si>
    <t>Choix catégorie d'animaux</t>
  </si>
  <si>
    <t>besoin électrificateur :</t>
  </si>
  <si>
    <t>Étape 3 (choix type d'animaux)</t>
  </si>
  <si>
    <t>Étape 4 (coûts équipements et litière ajustables)</t>
  </si>
  <si>
    <t>Tiré du Guide mouton 2000, feuillet 6.100, Sommaire des besoins nutritionnels des ovins (NRC1985)</t>
  </si>
  <si>
    <t>Brebis en lactation, 2 agneaux les 2 premiers mois</t>
  </si>
  <si>
    <t>COÛTS TEMPS DE POSE ($/heure)</t>
  </si>
  <si>
    <t>Coûts du temps de pose au 100 mètres grillage à moutons avec fils à haute résistance ($/heure)</t>
  </si>
  <si>
    <t>Distance 5,71 mètres entre les piquets, grillage à moutons avec fils à haute résistance</t>
  </si>
  <si>
    <t>Clôture de périphérie en grillage à moutons avec fils à haute résistance</t>
  </si>
  <si>
    <t>Coût grillage à moutons avec fils haute résistance par 100 mètres</t>
  </si>
  <si>
    <t>TEMPS POSE AUX 100 m périphérique grillage à moutons avec fils à haute résistance (heures)</t>
  </si>
  <si>
    <t>Agraphes de 2 pouces à 5,5 lbs/100 mètres à 2$/lbs, grillage à moutons avec fils à haute résistance</t>
  </si>
  <si>
    <t>Coût fil de tension par 100 mètres, 6,5$, grillage à moutons avwec fils à haute résistance</t>
  </si>
  <si>
    <t>Coût piquets 10 pieds pour grillage à moutons avec fils haute résistance 10$/piquets</t>
  </si>
  <si>
    <t xml:space="preserve">Entretien grillage à 3,5 heures par année moutons avec fils à haute résistance (heures par année) </t>
  </si>
  <si>
    <t>DISTANCE ENTRE LES PIQUETS (m)</t>
  </si>
  <si>
    <t>$ du piquet grillage à moutons avec fils haute résistance</t>
  </si>
  <si>
    <t>$ du piquet de coin</t>
  </si>
  <si>
    <t>Coût piquets de coin à 4 piquets par 1000 mètres à 12$/piquets</t>
  </si>
  <si>
    <t>Arrondi coût du grillage à moutons avec fils haute résistanceà 569$/100 mètres</t>
  </si>
  <si>
    <t>Coûts des 4 piquets de coin ($)</t>
  </si>
  <si>
    <t>Fil de tension 6,50$ /100 m</t>
  </si>
  <si>
    <t>Agraphes de 2 pouces à 6,5 lbs/100 mètres à 2$/lbs</t>
  </si>
  <si>
    <t xml:space="preserve"> nombre de piquets de coin arrondi à 4 par 1000 mètres</t>
  </si>
  <si>
    <t>Nomnbre d'unités de 100 mètres du grillage à moutons avec fils haute résistanceà 569$/100 mètres</t>
  </si>
  <si>
    <t>Prévoir pour l'eau*</t>
  </si>
  <si>
    <t>J</t>
  </si>
  <si>
    <t>Étape 1 (saisie des paramètres de base)</t>
  </si>
  <si>
    <t>FORMULAIRE DE SAISIE DE DONNÉES POUR DÉTERMINER LES COÛTS DE CINQ OPTIONS POSSIBLES</t>
  </si>
  <si>
    <t>Nombre de têtes au pâturage en même temps</t>
  </si>
  <si>
    <t>CLÔTURE DIVISIONS si données du producteur. sinon mettre zéro              (m)</t>
  </si>
  <si>
    <t>concentrés servis</t>
  </si>
  <si>
    <t>Notes à l'utilisateur</t>
  </si>
  <si>
    <t xml:space="preserve">Cet outil a été développé pour aider à la prise de décisions dans le choix d'un </t>
  </si>
  <si>
    <t xml:space="preserve">aménagement pour l'application d'une régie de pâturages. Le producteur pourra </t>
  </si>
  <si>
    <t xml:space="preserve">comparer la rentabilité entre cinq projets d'aménagement différents. Les coûts </t>
  </si>
  <si>
    <t xml:space="preserve">des différents scénarios sont établis à partir des données inscrites au formulaire </t>
  </si>
  <si>
    <t>de saisie, comme :</t>
  </si>
  <si>
    <t>- Le nombre de jours pâturés</t>
  </si>
  <si>
    <t>- Les types de clôture pour en périphérie et les divisions</t>
  </si>
  <si>
    <t xml:space="preserve">périphériques et de quatre types de clôtures de divisions. Les calculs de </t>
  </si>
  <si>
    <t xml:space="preserve">Pâturage de forme carré (forme qui donne le maximum de surface pour un </t>
  </si>
  <si>
    <t xml:space="preserve">minimum de circonférence à clôturer) divisé en six parcelles égales pour </t>
  </si>
  <si>
    <t>La qualité des résultats obtenus est directement liée à celle des données à saisir</t>
  </si>
  <si>
    <t>dans les formulaires.</t>
  </si>
  <si>
    <t>L'utilisateur doit donc valider les paramètres (cases jaunes) du formulaire de saisie.</t>
  </si>
  <si>
    <t xml:space="preserve">De plus, les résultats doivent être adaptés en fonction des réalités topographiques </t>
  </si>
  <si>
    <t>de la ferme.</t>
  </si>
  <si>
    <t>- Le nombre d'animaux au pâturage</t>
  </si>
  <si>
    <t>- Le type d'animaux au pâturage</t>
  </si>
  <si>
    <t>les minuscules le choix du type d’animaux au pâturage.</t>
  </si>
  <si>
    <t>BESOINS TOTAUX                                           (kg ms)               Selon catégorie d'animaux</t>
  </si>
  <si>
    <t xml:space="preserve">Pour chacune des hypothèses, vous avez le choix de cinq types de clôtures </t>
  </si>
  <si>
    <t>Schéma 1)</t>
  </si>
  <si>
    <t>permettre une rotation efficace voir : voir Schéma 1</t>
  </si>
  <si>
    <t>Avertissement</t>
  </si>
  <si>
    <t>- Le rendement moyen estimé à 89 % MS du pâturage en kg MS/ha</t>
  </si>
  <si>
    <t xml:space="preserve">Pour tous les choix de menus déroulants, toujours sélectionner la lettre et non </t>
  </si>
  <si>
    <t>longueurs de clôtures nécessaires sont établis selon le concept suivant :</t>
  </si>
  <si>
    <t>la description. Les lettres majuscules désignent les choix de types de clôtures et</t>
  </si>
  <si>
    <t>PÂTURAGE, NOMBRE DE (TMS) PRODUIT PAR CYCLE DE 5 ANS (TMS)</t>
  </si>
  <si>
    <t>DIVISIONS, CARRELÉES, TEMPS POSE AUX 100 m PIQUETS DE BOIS                 (heures)</t>
  </si>
  <si>
    <t>DIVISIONS, CARRELÉES, TEMPS POSE AUX 100 m PIQUETS DE FIBRE DE VERRE                                 (heures)</t>
  </si>
  <si>
    <t>$/tête</t>
  </si>
  <si>
    <t>g</t>
  </si>
  <si>
    <t>h</t>
  </si>
  <si>
    <t>Après analyse voici mes recommandations pour inclure dans le chiffrier.</t>
  </si>
  <si>
    <t>Chèvre laitière gestante (60 kg) = 1,64</t>
  </si>
  <si>
    <t>Chèvre de boucherie gestante (80 kg) = 1,75</t>
  </si>
  <si>
    <t>Chèvre en laitière en lactation (60 kg) = 2,61</t>
  </si>
  <si>
    <t>Chèvre de boucherie en lactation (80 kg) = 2,11</t>
  </si>
  <si>
    <t>Chevrette de 40 kg = 1,48</t>
  </si>
  <si>
    <t>Chevreau de 25 kg = 0,85</t>
  </si>
  <si>
    <t>Brebis gestante, 15 premières semaines</t>
  </si>
  <si>
    <t>Avantage par tête ($/tête) :</t>
  </si>
  <si>
    <t>i</t>
  </si>
  <si>
    <t>j</t>
  </si>
  <si>
    <t>k</t>
  </si>
  <si>
    <t>l</t>
  </si>
  <si>
    <t>%</t>
  </si>
  <si>
    <t>Chèvre laitière gestante</t>
  </si>
  <si>
    <t>Chèvre de boucherie gestante</t>
  </si>
  <si>
    <t>Chèvre laitière en lactation</t>
  </si>
  <si>
    <t>Chèvre de boucherie en lactation</t>
  </si>
  <si>
    <t>Chevrette</t>
  </si>
  <si>
    <t>Chevreau</t>
  </si>
  <si>
    <t>Agnelle gestante, 15 premières semaines</t>
  </si>
  <si>
    <t>Agnelle de remplacement</t>
  </si>
  <si>
    <t>Agneau sevré</t>
  </si>
  <si>
    <t>Coût total en bâtiment :</t>
  </si>
  <si>
    <t>Alimentation bâtiment</t>
  </si>
  <si>
    <t>CVMS (kg/j)</t>
  </si>
  <si>
    <t>% calculé</t>
  </si>
  <si>
    <t>poids (kg)</t>
  </si>
  <si>
    <t>Photos : Éric Labonté, MAPAQ</t>
  </si>
  <si>
    <t xml:space="preserve">Photos : Éric Labonté, MAPAQ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</si>
</sst>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7" formatCode="#,##0.00\ &quot;$&quot;_);\(#,##0.00\ &quot;$&quot;\)"/>
    <numFmt numFmtId="8" formatCode="#,##0.00\ &quot;$&quot;_);[Red]\(#,##0.00\ &quot;$&quot;\)"/>
    <numFmt numFmtId="41" formatCode="_ * #,##0_)\ _$_ ;_ * \(#,##0\)\ _$_ ;_ * &quot;-&quot;_)\ _$_ ;_ @_ "/>
    <numFmt numFmtId="44" formatCode="_ * #,##0.00_)\ &quot;$&quot;_ ;_ * \(#,##0.00\)\ &quot;$&quot;_ ;_ * &quot;-&quot;??_)\ &quot;$&quot;_ ;_ @_ "/>
    <numFmt numFmtId="43" formatCode="_ * #,##0.00_)\ _$_ ;_ * \(#,##0.00\)\ _$_ ;_ * &quot;-&quot;??_)\ _$_ ;_ @_ "/>
    <numFmt numFmtId="164" formatCode="#,##0_);[Red]\(#,##0\)"/>
    <numFmt numFmtId="165" formatCode="#,##0.00\ &quot;$&quot;"/>
    <numFmt numFmtId="166" formatCode="#,##0.00_);[Red]\(#,##0.00\)"/>
    <numFmt numFmtId="167" formatCode="#,##0.000000000000000_);[Red]\(#,##0.000000000000000\)"/>
    <numFmt numFmtId="168" formatCode="#,##0.00_);\(#,##0.00\)"/>
    <numFmt numFmtId="169" formatCode="#,##0.0000_);[Red]\(#,##0.0000\)"/>
    <numFmt numFmtId="170" formatCode="#,##0.00\ _$"/>
    <numFmt numFmtId="171" formatCode="0.0"/>
  </numFmts>
  <fonts count="4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rgb="FFC00000"/>
      <name val="Calibri"/>
      <family val="2"/>
      <scheme val="minor"/>
    </font>
    <font>
      <sz val="8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i/>
      <sz val="9"/>
      <color rgb="FFC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9"/>
      <color rgb="FFFF0000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8" tint="-0.499984740745262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8"/>
      <color theme="8" tint="-0.499984740745262"/>
      <name val="Calibri"/>
      <family val="2"/>
      <scheme val="minor"/>
    </font>
    <font>
      <sz val="14"/>
      <color rgb="FFC00000"/>
      <name val="Calibri"/>
      <family val="2"/>
      <scheme val="minor"/>
    </font>
    <font>
      <sz val="14"/>
      <name val="Calibri"/>
      <family val="2"/>
      <scheme val="minor"/>
    </font>
    <font>
      <b/>
      <sz val="8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rgb="FF1F497D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9"/>
      <color indexed="81"/>
      <name val="Tahoma"/>
      <family val="2"/>
    </font>
    <font>
      <b/>
      <sz val="14"/>
      <color theme="1"/>
      <name val="Comic Sans MS"/>
      <family val="4"/>
    </font>
    <font>
      <sz val="11"/>
      <color theme="1"/>
      <name val="Comic Sans MS"/>
      <family val="4"/>
    </font>
    <font>
      <b/>
      <sz val="14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2"/>
      <color theme="1"/>
      <name val="Comic Sans MS"/>
      <family val="4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0"/>
      <name val="Calibri"/>
      <family val="2"/>
      <scheme val="minor"/>
    </font>
    <font>
      <b/>
      <i/>
      <sz val="9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2" tint="-9.9948118533890809E-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thick">
        <color theme="4" tint="0.499984740745262"/>
      </top>
      <bottom style="thick">
        <color theme="4" tint="0.499984740745262"/>
      </bottom>
      <diagonal/>
    </border>
  </borders>
  <cellStyleXfs count="3">
    <xf numFmtId="0" fontId="0" fillId="0" borderId="0"/>
    <xf numFmtId="0" fontId="10" fillId="0" borderId="6" applyNumberFormat="0" applyFill="0" applyAlignment="0" applyProtection="0"/>
    <xf numFmtId="44" fontId="29" fillId="0" borderId="0" applyFont="0" applyFill="0" applyBorder="0" applyAlignment="0" applyProtection="0"/>
  </cellStyleXfs>
  <cellXfs count="365">
    <xf numFmtId="0" fontId="0" fillId="0" borderId="0" xfId="0"/>
    <xf numFmtId="0" fontId="0" fillId="0" borderId="4" xfId="0" applyBorder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4" fontId="0" fillId="0" borderId="0" xfId="0" applyNumberFormat="1"/>
    <xf numFmtId="3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8" fontId="0" fillId="0" borderId="4" xfId="0" applyNumberFormat="1" applyBorder="1"/>
    <xf numFmtId="0" fontId="2" fillId="0" borderId="0" xfId="0" applyFont="1" applyAlignment="1">
      <alignment wrapText="1"/>
    </xf>
    <xf numFmtId="18" fontId="0" fillId="0" borderId="0" xfId="0" applyNumberFormat="1" applyAlignment="1">
      <alignment wrapText="1"/>
    </xf>
    <xf numFmtId="8" fontId="0" fillId="0" borderId="4" xfId="0" applyNumberFormat="1" applyFill="1" applyBorder="1"/>
    <xf numFmtId="0" fontId="0" fillId="0" borderId="4" xfId="0" applyFill="1" applyBorder="1"/>
    <xf numFmtId="0" fontId="0" fillId="0" borderId="0" xfId="0" applyFill="1" applyBorder="1"/>
    <xf numFmtId="0" fontId="0" fillId="0" borderId="5" xfId="0" applyFill="1" applyBorder="1"/>
    <xf numFmtId="8" fontId="0" fillId="0" borderId="5" xfId="0" applyNumberFormat="1" applyFill="1" applyBorder="1"/>
    <xf numFmtId="165" fontId="0" fillId="0" borderId="0" xfId="0" applyNumberFormat="1" applyFill="1" applyBorder="1"/>
    <xf numFmtId="8" fontId="0" fillId="0" borderId="4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8" fontId="0" fillId="0" borderId="5" xfId="0" applyNumberFormat="1" applyFill="1" applyBorder="1" applyAlignment="1">
      <alignment horizontal="center"/>
    </xf>
    <xf numFmtId="8" fontId="0" fillId="0" borderId="0" xfId="0" applyNumberFormat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43" fontId="0" fillId="0" borderId="0" xfId="0" applyNumberFormat="1" applyFill="1" applyBorder="1" applyAlignment="1">
      <alignment horizontal="center"/>
    </xf>
    <xf numFmtId="167" fontId="0" fillId="0" borderId="0" xfId="0" applyNumberFormat="1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4" fillId="0" borderId="0" xfId="0" applyFont="1" applyBorder="1"/>
    <xf numFmtId="7" fontId="4" fillId="0" borderId="0" xfId="0" applyNumberFormat="1" applyFont="1" applyBorder="1"/>
    <xf numFmtId="4" fontId="4" fillId="0" borderId="0" xfId="0" applyNumberFormat="1" applyFont="1" applyFill="1" applyBorder="1"/>
    <xf numFmtId="0" fontId="4" fillId="0" borderId="0" xfId="0" applyFont="1" applyFill="1" applyBorder="1"/>
    <xf numFmtId="0" fontId="3" fillId="0" borderId="0" xfId="0" applyFont="1" applyFill="1" applyBorder="1"/>
    <xf numFmtId="8" fontId="4" fillId="0" borderId="0" xfId="0" applyNumberFormat="1" applyFont="1" applyFill="1" applyBorder="1"/>
    <xf numFmtId="166" fontId="0" fillId="0" borderId="0" xfId="0" applyNumberFormat="1" applyFill="1" applyBorder="1"/>
    <xf numFmtId="166" fontId="4" fillId="0" borderId="0" xfId="0" applyNumberFormat="1" applyFont="1" applyFill="1" applyBorder="1"/>
    <xf numFmtId="8" fontId="3" fillId="0" borderId="0" xfId="0" applyNumberFormat="1" applyFont="1" applyFill="1" applyBorder="1"/>
    <xf numFmtId="0" fontId="6" fillId="0" borderId="0" xfId="0" applyFont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3" fontId="0" fillId="0" borderId="0" xfId="0" applyNumberFormat="1" applyFill="1" applyBorder="1"/>
    <xf numFmtId="2" fontId="0" fillId="0" borderId="0" xfId="0" applyNumberFormat="1" applyFill="1" applyBorder="1"/>
    <xf numFmtId="2" fontId="4" fillId="0" borderId="0" xfId="0" applyNumberFormat="1" applyFont="1" applyFill="1" applyBorder="1"/>
    <xf numFmtId="2" fontId="0" fillId="0" borderId="0" xfId="0" applyNumberFormat="1" applyFill="1" applyBorder="1" applyAlignment="1">
      <alignment horizontal="center"/>
    </xf>
    <xf numFmtId="169" fontId="0" fillId="0" borderId="0" xfId="0" applyNumberFormat="1" applyFill="1" applyBorder="1" applyAlignment="1">
      <alignment horizontal="center"/>
    </xf>
    <xf numFmtId="0" fontId="9" fillId="0" borderId="2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/>
    </xf>
    <xf numFmtId="2" fontId="8" fillId="0" borderId="0" xfId="0" applyNumberFormat="1" applyFont="1" applyFill="1" applyBorder="1" applyAlignment="1">
      <alignment horizontal="center"/>
    </xf>
    <xf numFmtId="43" fontId="8" fillId="0" borderId="0" xfId="0" applyNumberFormat="1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  <xf numFmtId="0" fontId="13" fillId="0" borderId="0" xfId="0" applyFont="1" applyBorder="1"/>
    <xf numFmtId="0" fontId="2" fillId="0" borderId="0" xfId="0" applyFont="1"/>
    <xf numFmtId="0" fontId="14" fillId="0" borderId="0" xfId="0" applyFont="1"/>
    <xf numFmtId="0" fontId="11" fillId="0" borderId="0" xfId="0" applyFont="1"/>
    <xf numFmtId="0" fontId="10" fillId="2" borderId="6" xfId="1" applyFill="1" applyAlignment="1">
      <alignment horizontal="center" wrapText="1"/>
    </xf>
    <xf numFmtId="0" fontId="10" fillId="2" borderId="6" xfId="1" applyFill="1" applyAlignment="1">
      <alignment horizontal="center"/>
    </xf>
    <xf numFmtId="8" fontId="10" fillId="2" borderId="6" xfId="1" applyNumberFormat="1" applyFill="1" applyAlignment="1">
      <alignment horizontal="center"/>
    </xf>
    <xf numFmtId="43" fontId="10" fillId="2" borderId="6" xfId="1" applyNumberFormat="1" applyFill="1" applyAlignment="1">
      <alignment horizontal="center"/>
    </xf>
    <xf numFmtId="41" fontId="10" fillId="2" borderId="6" xfId="1" applyNumberFormat="1" applyFill="1" applyAlignment="1">
      <alignment horizontal="center"/>
    </xf>
    <xf numFmtId="0" fontId="10" fillId="5" borderId="6" xfId="1" applyFill="1" applyAlignment="1">
      <alignment wrapText="1"/>
    </xf>
    <xf numFmtId="0" fontId="10" fillId="5" borderId="6" xfId="1" applyFill="1" applyAlignment="1">
      <alignment horizontal="center" wrapText="1"/>
    </xf>
    <xf numFmtId="0" fontId="10" fillId="5" borderId="6" xfId="1" applyFill="1" applyAlignment="1">
      <alignment horizontal="right" wrapText="1"/>
    </xf>
    <xf numFmtId="0" fontId="10" fillId="5" borderId="6" xfId="1" applyFill="1"/>
    <xf numFmtId="0" fontId="10" fillId="5" borderId="6" xfId="1" applyNumberFormat="1" applyFill="1" applyAlignment="1">
      <alignment horizontal="center"/>
    </xf>
    <xf numFmtId="0" fontId="10" fillId="5" borderId="6" xfId="1" applyNumberFormat="1" applyFill="1" applyAlignment="1">
      <alignment horizontal="right"/>
    </xf>
    <xf numFmtId="3" fontId="10" fillId="5" borderId="6" xfId="1" applyNumberFormat="1" applyFill="1" applyAlignment="1">
      <alignment horizontal="center"/>
    </xf>
    <xf numFmtId="2" fontId="10" fillId="5" borderId="6" xfId="1" applyNumberFormat="1" applyFill="1" applyAlignment="1">
      <alignment horizontal="center"/>
    </xf>
    <xf numFmtId="0" fontId="10" fillId="5" borderId="6" xfId="1" applyFill="1" applyAlignment="1">
      <alignment horizontal="center"/>
    </xf>
    <xf numFmtId="1" fontId="10" fillId="5" borderId="6" xfId="1" applyNumberFormat="1" applyFill="1" applyAlignment="1">
      <alignment horizontal="center"/>
    </xf>
    <xf numFmtId="0" fontId="10" fillId="6" borderId="6" xfId="1" applyFill="1" applyAlignment="1">
      <alignment horizontal="center" wrapText="1"/>
    </xf>
    <xf numFmtId="3" fontId="10" fillId="6" borderId="6" xfId="1" applyNumberFormat="1" applyFill="1" applyAlignment="1">
      <alignment horizontal="center"/>
    </xf>
    <xf numFmtId="43" fontId="10" fillId="6" borderId="6" xfId="1" applyNumberFormat="1" applyFill="1" applyAlignment="1">
      <alignment horizontal="center"/>
    </xf>
    <xf numFmtId="0" fontId="10" fillId="7" borderId="6" xfId="1" applyFill="1" applyAlignment="1">
      <alignment horizontal="center" wrapText="1"/>
    </xf>
    <xf numFmtId="43" fontId="10" fillId="7" borderId="6" xfId="1" applyNumberFormat="1" applyFill="1" applyAlignment="1">
      <alignment horizontal="center"/>
    </xf>
    <xf numFmtId="41" fontId="10" fillId="7" borderId="6" xfId="1" applyNumberFormat="1" applyFill="1" applyAlignment="1">
      <alignment horizontal="center"/>
    </xf>
    <xf numFmtId="0" fontId="10" fillId="8" borderId="6" xfId="1" applyFill="1" applyAlignment="1">
      <alignment horizontal="center" wrapText="1"/>
    </xf>
    <xf numFmtId="0" fontId="10" fillId="8" borderId="6" xfId="1" applyFill="1" applyAlignment="1">
      <alignment horizontal="center"/>
    </xf>
    <xf numFmtId="43" fontId="10" fillId="8" borderId="6" xfId="1" applyNumberFormat="1" applyFill="1" applyAlignment="1">
      <alignment horizontal="center"/>
    </xf>
    <xf numFmtId="0" fontId="10" fillId="3" borderId="6" xfId="1" applyFill="1" applyAlignment="1">
      <alignment horizontal="center" wrapText="1"/>
    </xf>
    <xf numFmtId="0" fontId="10" fillId="3" borderId="6" xfId="1" applyFill="1" applyAlignment="1">
      <alignment horizontal="center"/>
    </xf>
    <xf numFmtId="0" fontId="10" fillId="4" borderId="6" xfId="1" applyFill="1" applyAlignment="1">
      <alignment horizontal="center" wrapText="1"/>
    </xf>
    <xf numFmtId="0" fontId="10" fillId="4" borderId="6" xfId="1" applyFill="1" applyAlignment="1">
      <alignment wrapText="1"/>
    </xf>
    <xf numFmtId="1" fontId="10" fillId="4" borderId="6" xfId="1" applyNumberFormat="1" applyFill="1" applyAlignment="1">
      <alignment horizontal="center"/>
    </xf>
    <xf numFmtId="8" fontId="10" fillId="4" borderId="6" xfId="1" applyNumberFormat="1" applyFill="1"/>
    <xf numFmtId="0" fontId="13" fillId="9" borderId="0" xfId="0" applyFont="1" applyFill="1" applyBorder="1"/>
    <xf numFmtId="164" fontId="5" fillId="0" borderId="0" xfId="0" applyNumberFormat="1" applyFont="1" applyFill="1" applyBorder="1" applyAlignment="1">
      <alignment horizontal="center"/>
    </xf>
    <xf numFmtId="168" fontId="0" fillId="0" borderId="0" xfId="0" applyNumberFormat="1" applyBorder="1" applyAlignment="1">
      <alignment horizontal="center"/>
    </xf>
    <xf numFmtId="2" fontId="4" fillId="0" borderId="0" xfId="0" applyNumberFormat="1" applyFont="1" applyBorder="1" applyAlignment="1">
      <alignment horizontal="center"/>
    </xf>
    <xf numFmtId="4" fontId="0" fillId="0" borderId="0" xfId="0" applyNumberFormat="1" applyFill="1" applyBorder="1" applyAlignment="1">
      <alignment horizontal="center"/>
    </xf>
    <xf numFmtId="4" fontId="4" fillId="0" borderId="0" xfId="0" applyNumberFormat="1" applyFont="1" applyFill="1" applyBorder="1" applyAlignment="1">
      <alignment horizontal="center"/>
    </xf>
    <xf numFmtId="8" fontId="4" fillId="0" borderId="0" xfId="0" applyNumberFormat="1" applyFont="1" applyFill="1" applyBorder="1" applyAlignment="1">
      <alignment horizontal="center"/>
    </xf>
    <xf numFmtId="8" fontId="0" fillId="0" borderId="0" xfId="0" applyNumberFormat="1" applyAlignment="1">
      <alignment horizontal="center"/>
    </xf>
    <xf numFmtId="0" fontId="7" fillId="0" borderId="4" xfId="0" applyFont="1" applyFill="1" applyBorder="1" applyAlignment="1">
      <alignment horizontal="center" vertical="center" wrapText="1"/>
    </xf>
    <xf numFmtId="8" fontId="5" fillId="0" borderId="4" xfId="0" applyNumberFormat="1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17" fillId="0" borderId="0" xfId="0" applyFont="1" applyFill="1" applyAlignment="1">
      <alignment horizontal="center" wrapText="1"/>
    </xf>
    <xf numFmtId="0" fontId="17" fillId="0" borderId="0" xfId="0" applyFont="1" applyFill="1" applyAlignment="1">
      <alignment horizontal="center" vertical="top" wrapText="1"/>
    </xf>
    <xf numFmtId="1" fontId="0" fillId="0" borderId="0" xfId="0" applyNumberFormat="1"/>
    <xf numFmtId="0" fontId="0" fillId="10" borderId="0" xfId="0" applyFill="1"/>
    <xf numFmtId="8" fontId="0" fillId="0" borderId="0" xfId="0" applyNumberFormat="1"/>
    <xf numFmtId="0" fontId="19" fillId="0" borderId="0" xfId="0" applyFont="1" applyAlignment="1">
      <alignment vertical="center"/>
    </xf>
    <xf numFmtId="0" fontId="0" fillId="0" borderId="0" xfId="0" applyAlignment="1">
      <alignment horizontal="left"/>
    </xf>
    <xf numFmtId="0" fontId="0" fillId="11" borderId="0" xfId="0" applyFill="1" applyAlignment="1">
      <alignment horizontal="center" vertical="center"/>
    </xf>
    <xf numFmtId="0" fontId="0" fillId="11" borderId="0" xfId="0" applyFill="1"/>
    <xf numFmtId="0" fontId="19" fillId="0" borderId="0" xfId="0" applyFont="1" applyAlignment="1" applyProtection="1">
      <alignment vertical="center"/>
      <protection locked="0"/>
    </xf>
    <xf numFmtId="0" fontId="0" fillId="9" borderId="0" xfId="0" applyFill="1"/>
    <xf numFmtId="0" fontId="0" fillId="9" borderId="0" xfId="0" applyFill="1" applyAlignment="1">
      <alignment horizontal="center" vertical="center"/>
    </xf>
    <xf numFmtId="0" fontId="0" fillId="9" borderId="0" xfId="0" applyFill="1" applyAlignment="1">
      <alignment horizontal="center"/>
    </xf>
    <xf numFmtId="0" fontId="0" fillId="9" borderId="0" xfId="0" applyFill="1" applyAlignment="1">
      <alignment horizontal="right"/>
    </xf>
    <xf numFmtId="0" fontId="2" fillId="9" borderId="0" xfId="0" applyFont="1" applyFill="1" applyAlignment="1">
      <alignment wrapText="1"/>
    </xf>
    <xf numFmtId="0" fontId="2" fillId="9" borderId="0" xfId="0" applyFont="1" applyFill="1"/>
    <xf numFmtId="0" fontId="11" fillId="9" borderId="0" xfId="0" applyFont="1" applyFill="1"/>
    <xf numFmtId="0" fontId="14" fillId="9" borderId="0" xfId="0" applyFont="1" applyFill="1"/>
    <xf numFmtId="0" fontId="0" fillId="9" borderId="14" xfId="0" applyFill="1" applyBorder="1"/>
    <xf numFmtId="0" fontId="0" fillId="9" borderId="13" xfId="0" applyFill="1" applyBorder="1" applyAlignment="1">
      <alignment horizontal="center"/>
    </xf>
    <xf numFmtId="2" fontId="12" fillId="8" borderId="12" xfId="0" applyNumberFormat="1" applyFont="1" applyFill="1" applyBorder="1" applyAlignment="1">
      <alignment horizontal="center"/>
    </xf>
    <xf numFmtId="0" fontId="0" fillId="8" borderId="0" xfId="0" applyFill="1" applyBorder="1" applyAlignment="1">
      <alignment horizontal="center" vertical="center"/>
    </xf>
    <xf numFmtId="0" fontId="0" fillId="8" borderId="0" xfId="0" applyFill="1" applyBorder="1" applyAlignment="1">
      <alignment horizontal="center"/>
    </xf>
    <xf numFmtId="0" fontId="0" fillId="8" borderId="0" xfId="0" applyFill="1" applyBorder="1" applyAlignment="1">
      <alignment horizontal="right"/>
    </xf>
    <xf numFmtId="0" fontId="0" fillId="8" borderId="0" xfId="0" applyFill="1" applyBorder="1"/>
    <xf numFmtId="0" fontId="14" fillId="8" borderId="12" xfId="0" applyFont="1" applyFill="1" applyBorder="1" applyAlignment="1">
      <alignment horizontal="center"/>
    </xf>
    <xf numFmtId="0" fontId="1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horizontal="center"/>
    </xf>
    <xf numFmtId="0" fontId="1" fillId="9" borderId="0" xfId="0" applyFont="1" applyFill="1" applyAlignment="1">
      <alignment horizontal="right"/>
    </xf>
    <xf numFmtId="0" fontId="1" fillId="9" borderId="0" xfId="0" applyFont="1" applyFill="1"/>
    <xf numFmtId="0" fontId="0" fillId="0" borderId="0" xfId="0" applyFill="1"/>
    <xf numFmtId="0" fontId="0" fillId="9" borderId="0" xfId="0" applyFill="1" applyBorder="1"/>
    <xf numFmtId="0" fontId="2" fillId="9" borderId="0" xfId="0" applyFont="1" applyFill="1" applyBorder="1" applyAlignment="1">
      <alignment wrapText="1"/>
    </xf>
    <xf numFmtId="0" fontId="2" fillId="9" borderId="0" xfId="0" applyFont="1" applyFill="1" applyBorder="1"/>
    <xf numFmtId="0" fontId="11" fillId="9" borderId="0" xfId="0" applyFont="1" applyFill="1" applyBorder="1"/>
    <xf numFmtId="0" fontId="14" fillId="9" borderId="0" xfId="0" applyFont="1" applyFill="1" applyBorder="1"/>
    <xf numFmtId="8" fontId="16" fillId="10" borderId="23" xfId="0" applyNumberFormat="1" applyFont="1" applyFill="1" applyBorder="1"/>
    <xf numFmtId="0" fontId="14" fillId="10" borderId="16" xfId="0" applyFont="1" applyFill="1" applyBorder="1" applyAlignment="1">
      <alignment horizontal="center" vertical="top" wrapText="1"/>
    </xf>
    <xf numFmtId="0" fontId="14" fillId="10" borderId="8" xfId="0" applyFont="1" applyFill="1" applyBorder="1" applyAlignment="1">
      <alignment horizontal="center" vertical="top" wrapText="1"/>
    </xf>
    <xf numFmtId="0" fontId="14" fillId="10" borderId="9" xfId="0" applyFont="1" applyFill="1" applyBorder="1" applyAlignment="1">
      <alignment horizontal="center" vertical="top" wrapText="1"/>
    </xf>
    <xf numFmtId="3" fontId="16" fillId="10" borderId="7" xfId="0" applyNumberFormat="1" applyFont="1" applyFill="1" applyBorder="1" applyAlignment="1">
      <alignment horizontal="center"/>
    </xf>
    <xf numFmtId="4" fontId="16" fillId="10" borderId="7" xfId="0" applyNumberFormat="1" applyFont="1" applyFill="1" applyBorder="1" applyAlignment="1">
      <alignment horizontal="center"/>
    </xf>
    <xf numFmtId="0" fontId="14" fillId="10" borderId="15" xfId="0" applyFont="1" applyFill="1" applyBorder="1" applyAlignment="1">
      <alignment horizontal="center" vertical="top" wrapText="1"/>
    </xf>
    <xf numFmtId="2" fontId="12" fillId="10" borderId="11" xfId="0" applyNumberFormat="1" applyFont="1" applyFill="1" applyBorder="1" applyAlignment="1">
      <alignment horizontal="center"/>
    </xf>
    <xf numFmtId="43" fontId="12" fillId="10" borderId="7" xfId="0" applyNumberFormat="1" applyFont="1" applyFill="1" applyBorder="1" applyAlignment="1">
      <alignment horizontal="center"/>
    </xf>
    <xf numFmtId="3" fontId="12" fillId="10" borderId="7" xfId="0" applyNumberFormat="1" applyFont="1" applyFill="1" applyBorder="1" applyAlignment="1">
      <alignment horizontal="center"/>
    </xf>
    <xf numFmtId="0" fontId="14" fillId="10" borderId="8" xfId="0" applyFont="1" applyFill="1" applyBorder="1" applyAlignment="1">
      <alignment horizontal="center" wrapText="1"/>
    </xf>
    <xf numFmtId="0" fontId="14" fillId="10" borderId="15" xfId="0" applyFont="1" applyFill="1" applyBorder="1" applyAlignment="1">
      <alignment horizontal="center" wrapText="1"/>
    </xf>
    <xf numFmtId="0" fontId="16" fillId="10" borderId="7" xfId="0" applyNumberFormat="1" applyFont="1" applyFill="1" applyBorder="1" applyAlignment="1">
      <alignment horizontal="center"/>
    </xf>
    <xf numFmtId="44" fontId="0" fillId="13" borderId="0" xfId="2" applyFont="1" applyFill="1" applyAlignment="1">
      <alignment horizontal="center"/>
    </xf>
    <xf numFmtId="44" fontId="0" fillId="0" borderId="0" xfId="2" applyFont="1"/>
    <xf numFmtId="49" fontId="26" fillId="9" borderId="19" xfId="0" applyNumberFormat="1" applyFont="1" applyFill="1" applyBorder="1" applyAlignment="1">
      <alignment horizontal="left"/>
    </xf>
    <xf numFmtId="0" fontId="32" fillId="9" borderId="0" xfId="0" applyFont="1" applyFill="1"/>
    <xf numFmtId="44" fontId="0" fillId="0" borderId="0" xfId="0" applyNumberFormat="1"/>
    <xf numFmtId="0" fontId="2" fillId="8" borderId="17" xfId="0" applyFont="1" applyFill="1" applyBorder="1" applyAlignment="1">
      <alignment wrapText="1"/>
    </xf>
    <xf numFmtId="0" fontId="0" fillId="10" borderId="17" xfId="0" applyFill="1" applyBorder="1"/>
    <xf numFmtId="0" fontId="2" fillId="8" borderId="17" xfId="0" applyFont="1" applyFill="1" applyBorder="1"/>
    <xf numFmtId="0" fontId="14" fillId="8" borderId="17" xfId="0" applyFont="1" applyFill="1" applyBorder="1"/>
    <xf numFmtId="0" fontId="14" fillId="10" borderId="16" xfId="0" applyFont="1" applyFill="1" applyBorder="1" applyAlignment="1">
      <alignment horizontal="center" wrapText="1"/>
    </xf>
    <xf numFmtId="0" fontId="0" fillId="13" borderId="0" xfId="0" applyFill="1" applyAlignment="1">
      <alignment horizontal="center"/>
    </xf>
    <xf numFmtId="8" fontId="4" fillId="0" borderId="0" xfId="0" applyNumberFormat="1" applyFont="1" applyBorder="1"/>
    <xf numFmtId="0" fontId="0" fillId="9" borderId="0" xfId="0" applyFill="1" applyAlignment="1">
      <alignment horizontal="left"/>
    </xf>
    <xf numFmtId="0" fontId="34" fillId="8" borderId="38" xfId="0" applyFont="1" applyFill="1" applyBorder="1" applyAlignment="1">
      <alignment horizontal="center" vertical="center"/>
    </xf>
    <xf numFmtId="0" fontId="34" fillId="8" borderId="38" xfId="0" applyFont="1" applyFill="1" applyBorder="1" applyAlignment="1">
      <alignment horizontal="center"/>
    </xf>
    <xf numFmtId="0" fontId="34" fillId="8" borderId="39" xfId="0" applyFont="1" applyFill="1" applyBorder="1" applyAlignment="1">
      <alignment horizontal="center"/>
    </xf>
    <xf numFmtId="0" fontId="0" fillId="8" borderId="17" xfId="0" applyFill="1" applyBorder="1"/>
    <xf numFmtId="0" fontId="33" fillId="8" borderId="9" xfId="0" applyFont="1" applyFill="1" applyBorder="1" applyAlignment="1">
      <alignment horizontal="center" vertical="center"/>
    </xf>
    <xf numFmtId="0" fontId="33" fillId="8" borderId="9" xfId="0" applyFont="1" applyFill="1" applyBorder="1" applyAlignment="1">
      <alignment horizontal="center"/>
    </xf>
    <xf numFmtId="0" fontId="33" fillId="8" borderId="9" xfId="0" applyFont="1" applyFill="1" applyBorder="1" applyAlignment="1">
      <alignment horizontal="right"/>
    </xf>
    <xf numFmtId="0" fontId="34" fillId="8" borderId="40" xfId="0" applyFont="1" applyFill="1" applyBorder="1" applyAlignment="1">
      <alignment horizontal="center"/>
    </xf>
    <xf numFmtId="0" fontId="0" fillId="12" borderId="32" xfId="0" applyFill="1" applyBorder="1" applyAlignment="1">
      <alignment horizontal="center" vertical="center"/>
    </xf>
    <xf numFmtId="0" fontId="0" fillId="8" borderId="32" xfId="0" applyFill="1" applyBorder="1" applyAlignment="1">
      <alignment horizontal="center" vertical="center"/>
    </xf>
    <xf numFmtId="0" fontId="0" fillId="8" borderId="32" xfId="0" applyFill="1" applyBorder="1" applyAlignment="1">
      <alignment horizontal="center"/>
    </xf>
    <xf numFmtId="0" fontId="0" fillId="8" borderId="33" xfId="0" applyFill="1" applyBorder="1" applyAlignment="1">
      <alignment horizontal="center"/>
    </xf>
    <xf numFmtId="0" fontId="0" fillId="8" borderId="34" xfId="0" applyFill="1" applyBorder="1"/>
    <xf numFmtId="0" fontId="0" fillId="8" borderId="42" xfId="0" applyFill="1" applyBorder="1"/>
    <xf numFmtId="0" fontId="0" fillId="8" borderId="42" xfId="0" applyFill="1" applyBorder="1" applyAlignment="1">
      <alignment horizontal="center" vertical="center"/>
    </xf>
    <xf numFmtId="0" fontId="0" fillId="8" borderId="42" xfId="0" applyFill="1" applyBorder="1" applyAlignment="1">
      <alignment horizontal="center"/>
    </xf>
    <xf numFmtId="0" fontId="0" fillId="8" borderId="42" xfId="0" applyFill="1" applyBorder="1" applyAlignment="1">
      <alignment horizontal="right"/>
    </xf>
    <xf numFmtId="0" fontId="0" fillId="8" borderId="43" xfId="0" applyFill="1" applyBorder="1"/>
    <xf numFmtId="165" fontId="0" fillId="12" borderId="8" xfId="0" applyNumberFormat="1" applyFill="1" applyBorder="1" applyAlignment="1">
      <alignment horizontal="center"/>
    </xf>
    <xf numFmtId="0" fontId="0" fillId="8" borderId="22" xfId="0" applyFill="1" applyBorder="1" applyAlignment="1"/>
    <xf numFmtId="0" fontId="0" fillId="8" borderId="20" xfId="0" applyFill="1" applyBorder="1" applyAlignment="1">
      <alignment horizontal="center" vertical="center"/>
    </xf>
    <xf numFmtId="0" fontId="0" fillId="8" borderId="12" xfId="0" applyFill="1" applyBorder="1" applyAlignment="1">
      <alignment horizontal="center" vertical="center"/>
    </xf>
    <xf numFmtId="0" fontId="0" fillId="8" borderId="44" xfId="0" applyFill="1" applyBorder="1"/>
    <xf numFmtId="0" fontId="0" fillId="8" borderId="21" xfId="0" applyFill="1" applyBorder="1"/>
    <xf numFmtId="0" fontId="0" fillId="8" borderId="14" xfId="0" applyFill="1" applyBorder="1"/>
    <xf numFmtId="0" fontId="0" fillId="12" borderId="30" xfId="0" applyFill="1" applyBorder="1"/>
    <xf numFmtId="0" fontId="0" fillId="12" borderId="36" xfId="0" applyFill="1" applyBorder="1"/>
    <xf numFmtId="165" fontId="0" fillId="12" borderId="7" xfId="0" applyNumberFormat="1" applyFill="1" applyBorder="1" applyAlignment="1">
      <alignment horizontal="center"/>
    </xf>
    <xf numFmtId="0" fontId="33" fillId="8" borderId="7" xfId="0" applyFont="1" applyFill="1" applyBorder="1" applyAlignment="1">
      <alignment horizontal="center"/>
    </xf>
    <xf numFmtId="0" fontId="33" fillId="8" borderId="11" xfId="0" applyFont="1" applyFill="1" applyBorder="1" applyAlignment="1">
      <alignment horizontal="center" vertical="center"/>
    </xf>
    <xf numFmtId="165" fontId="33" fillId="8" borderId="8" xfId="0" applyNumberFormat="1" applyFont="1" applyFill="1" applyBorder="1" applyAlignment="1">
      <alignment horizontal="center"/>
    </xf>
    <xf numFmtId="165" fontId="33" fillId="8" borderId="15" xfId="0" applyNumberFormat="1" applyFont="1" applyFill="1" applyBorder="1" applyAlignment="1">
      <alignment horizontal="center" vertical="center"/>
    </xf>
    <xf numFmtId="0" fontId="0" fillId="8" borderId="43" xfId="0" applyFill="1" applyBorder="1" applyAlignment="1">
      <alignment horizontal="center" vertical="center"/>
    </xf>
    <xf numFmtId="0" fontId="34" fillId="8" borderId="19" xfId="0" applyFont="1" applyFill="1" applyBorder="1" applyAlignment="1">
      <alignment horizontal="center"/>
    </xf>
    <xf numFmtId="0" fontId="33" fillId="8" borderId="35" xfId="0" applyFont="1" applyFill="1" applyBorder="1" applyAlignment="1">
      <alignment horizontal="center"/>
    </xf>
    <xf numFmtId="0" fontId="33" fillId="8" borderId="45" xfId="0" applyFont="1" applyFill="1" applyBorder="1" applyAlignment="1">
      <alignment horizontal="center"/>
    </xf>
    <xf numFmtId="0" fontId="35" fillId="9" borderId="0" xfId="0" applyFont="1" applyFill="1"/>
    <xf numFmtId="0" fontId="35" fillId="9" borderId="0" xfId="0" applyFont="1" applyFill="1" applyAlignment="1">
      <alignment horizontal="center" vertical="center"/>
    </xf>
    <xf numFmtId="0" fontId="35" fillId="9" borderId="0" xfId="0" applyFont="1" applyFill="1" applyAlignment="1">
      <alignment horizontal="center"/>
    </xf>
    <xf numFmtId="0" fontId="35" fillId="9" borderId="0" xfId="0" applyFont="1" applyFill="1" applyAlignment="1">
      <alignment horizontal="right"/>
    </xf>
    <xf numFmtId="165" fontId="35" fillId="9" borderId="0" xfId="0" applyNumberFormat="1" applyFont="1" applyFill="1" applyAlignment="1">
      <alignment horizontal="center"/>
    </xf>
    <xf numFmtId="165" fontId="35" fillId="9" borderId="0" xfId="0" applyNumberFormat="1" applyFont="1" applyFill="1" applyAlignment="1">
      <alignment horizontal="center" vertical="center"/>
    </xf>
    <xf numFmtId="170" fontId="35" fillId="9" borderId="0" xfId="0" applyNumberFormat="1" applyFont="1" applyFill="1" applyAlignment="1">
      <alignment horizontal="center" vertical="center"/>
    </xf>
    <xf numFmtId="170" fontId="35" fillId="9" borderId="0" xfId="0" applyNumberFormat="1" applyFont="1" applyFill="1" applyAlignment="1">
      <alignment horizontal="center"/>
    </xf>
    <xf numFmtId="0" fontId="0" fillId="8" borderId="12" xfId="0" applyFill="1" applyBorder="1" applyAlignment="1"/>
    <xf numFmtId="0" fontId="20" fillId="8" borderId="0" xfId="0" applyFont="1" applyFill="1" applyBorder="1" applyAlignment="1"/>
    <xf numFmtId="0" fontId="0" fillId="9" borderId="20" xfId="0" applyFill="1" applyBorder="1" applyAlignment="1">
      <alignment horizontal="center"/>
    </xf>
    <xf numFmtId="0" fontId="0" fillId="9" borderId="17" xfId="0" applyFill="1" applyBorder="1" applyAlignment="1">
      <alignment horizontal="center"/>
    </xf>
    <xf numFmtId="0" fontId="0" fillId="9" borderId="12" xfId="0" applyFill="1" applyBorder="1" applyAlignment="1">
      <alignment horizontal="center"/>
    </xf>
    <xf numFmtId="0" fontId="0" fillId="8" borderId="0" xfId="0" applyFill="1" applyBorder="1" applyAlignment="1"/>
    <xf numFmtId="0" fontId="12" fillId="8" borderId="0" xfId="0" applyFont="1" applyFill="1" applyBorder="1" applyAlignment="1"/>
    <xf numFmtId="0" fontId="0" fillId="9" borderId="19" xfId="0" applyFill="1" applyBorder="1"/>
    <xf numFmtId="0" fontId="0" fillId="9" borderId="19" xfId="0" applyFill="1" applyBorder="1" applyAlignment="1">
      <alignment horizontal="center" vertical="center"/>
    </xf>
    <xf numFmtId="0" fontId="0" fillId="9" borderId="19" xfId="0" applyFill="1" applyBorder="1" applyAlignment="1">
      <alignment horizontal="right"/>
    </xf>
    <xf numFmtId="0" fontId="0" fillId="9" borderId="19" xfId="0" applyFill="1" applyBorder="1" applyAlignment="1">
      <alignment horizontal="center"/>
    </xf>
    <xf numFmtId="0" fontId="20" fillId="8" borderId="0" xfId="0" applyFont="1" applyFill="1" applyBorder="1" applyAlignment="1">
      <alignment vertical="center"/>
    </xf>
    <xf numFmtId="0" fontId="20" fillId="13" borderId="0" xfId="0" applyFont="1" applyFill="1" applyBorder="1" applyAlignment="1"/>
    <xf numFmtId="0" fontId="20" fillId="13" borderId="0" xfId="0" applyFont="1" applyFill="1" applyBorder="1" applyAlignment="1">
      <alignment horizontal="center" vertical="center"/>
    </xf>
    <xf numFmtId="0" fontId="32" fillId="9" borderId="22" xfId="0" applyFont="1" applyFill="1" applyBorder="1"/>
    <xf numFmtId="0" fontId="32" fillId="9" borderId="21" xfId="0" applyFont="1" applyFill="1" applyBorder="1"/>
    <xf numFmtId="49" fontId="26" fillId="9" borderId="0" xfId="0" applyNumberFormat="1" applyFont="1" applyFill="1" applyBorder="1" applyAlignment="1">
      <alignment horizontal="center"/>
    </xf>
    <xf numFmtId="0" fontId="32" fillId="10" borderId="17" xfId="0" applyFont="1" applyFill="1" applyBorder="1" applyAlignment="1">
      <alignment horizontal="center" vertical="center"/>
    </xf>
    <xf numFmtId="49" fontId="32" fillId="10" borderId="17" xfId="0" applyNumberFormat="1" applyFont="1" applyFill="1" applyBorder="1" applyAlignment="1">
      <alignment horizontal="center" vertical="center" wrapText="1"/>
    </xf>
    <xf numFmtId="165" fontId="16" fillId="10" borderId="7" xfId="0" applyNumberFormat="1" applyFont="1" applyFill="1" applyBorder="1" applyAlignment="1">
      <alignment horizontal="center"/>
    </xf>
    <xf numFmtId="49" fontId="26" fillId="9" borderId="14" xfId="0" applyNumberFormat="1" applyFont="1" applyFill="1" applyBorder="1" applyAlignment="1">
      <alignment horizontal="left"/>
    </xf>
    <xf numFmtId="0" fontId="0" fillId="0" borderId="0" xfId="0" applyAlignment="1">
      <alignment horizontal="left" vertical="top" wrapText="1"/>
    </xf>
    <xf numFmtId="165" fontId="0" fillId="0" borderId="0" xfId="0" applyNumberFormat="1"/>
    <xf numFmtId="8" fontId="5" fillId="0" borderId="0" xfId="0" applyNumberFormat="1" applyFont="1" applyFill="1" applyBorder="1" applyAlignment="1">
      <alignment horizontal="center"/>
    </xf>
    <xf numFmtId="1" fontId="10" fillId="5" borderId="6" xfId="1" applyNumberFormat="1" applyFill="1" applyAlignment="1">
      <alignment horizontal="center" wrapText="1"/>
    </xf>
    <xf numFmtId="2" fontId="10" fillId="5" borderId="6" xfId="1" applyNumberFormat="1" applyFill="1" applyAlignment="1">
      <alignment horizontal="center" wrapText="1"/>
    </xf>
    <xf numFmtId="0" fontId="10" fillId="4" borderId="0" xfId="1" applyFill="1" applyBorder="1" applyAlignment="1">
      <alignment horizontal="center" wrapText="1"/>
    </xf>
    <xf numFmtId="166" fontId="10" fillId="4" borderId="6" xfId="1" applyNumberFormat="1" applyFill="1" applyAlignment="1">
      <alignment horizontal="center"/>
    </xf>
    <xf numFmtId="0" fontId="31" fillId="12" borderId="29" xfId="0" applyFont="1" applyFill="1" applyBorder="1" applyAlignment="1" applyProtection="1">
      <protection locked="0"/>
    </xf>
    <xf numFmtId="166" fontId="10" fillId="4" borderId="6" xfId="1" applyNumberFormat="1" applyFill="1"/>
    <xf numFmtId="8" fontId="1" fillId="0" borderId="0" xfId="0" applyNumberFormat="1" applyFont="1" applyFill="1" applyBorder="1" applyAlignment="1">
      <alignment horizontal="center" vertical="top" wrapText="1"/>
    </xf>
    <xf numFmtId="8" fontId="37" fillId="0" borderId="0" xfId="0" applyNumberFormat="1" applyFont="1" applyFill="1" applyBorder="1" applyAlignment="1">
      <alignment horizontal="center" vertical="top" wrapText="1"/>
    </xf>
    <xf numFmtId="0" fontId="38" fillId="0" borderId="0" xfId="0" applyFont="1" applyFill="1" applyBorder="1" applyAlignment="1">
      <alignment horizontal="center" vertical="center" wrapText="1"/>
    </xf>
    <xf numFmtId="8" fontId="5" fillId="0" borderId="0" xfId="0" applyNumberFormat="1" applyFont="1"/>
    <xf numFmtId="8" fontId="1" fillId="0" borderId="0" xfId="0" applyNumberFormat="1" applyFont="1" applyFill="1" applyBorder="1" applyAlignment="1">
      <alignment horizontal="center"/>
    </xf>
    <xf numFmtId="166" fontId="1" fillId="0" borderId="0" xfId="0" applyNumberFormat="1" applyFont="1" applyFill="1" applyBorder="1" applyAlignment="1">
      <alignment horizontal="center"/>
    </xf>
    <xf numFmtId="165" fontId="0" fillId="0" borderId="4" xfId="0" applyNumberFormat="1" applyFill="1" applyBorder="1"/>
    <xf numFmtId="0" fontId="36" fillId="0" borderId="0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165" fontId="5" fillId="0" borderId="0" xfId="0" applyNumberFormat="1" applyFont="1"/>
    <xf numFmtId="0" fontId="5" fillId="0" borderId="0" xfId="0" applyFont="1"/>
    <xf numFmtId="8" fontId="10" fillId="0" borderId="0" xfId="1" applyNumberFormat="1" applyFill="1" applyBorder="1"/>
    <xf numFmtId="166" fontId="10" fillId="0" borderId="0" xfId="1" applyNumberFormat="1" applyFill="1" applyBorder="1" applyAlignment="1">
      <alignment horizontal="center"/>
    </xf>
    <xf numFmtId="8" fontId="10" fillId="4" borderId="46" xfId="1" applyNumberFormat="1" applyFill="1" applyBorder="1"/>
    <xf numFmtId="0" fontId="0" fillId="0" borderId="0" xfId="0" applyFont="1"/>
    <xf numFmtId="0" fontId="30" fillId="12" borderId="28" xfId="0" applyFont="1" applyFill="1" applyBorder="1" applyAlignment="1">
      <alignment horizontal="center"/>
    </xf>
    <xf numFmtId="0" fontId="0" fillId="15" borderId="27" xfId="0" applyFill="1" applyBorder="1" applyAlignment="1">
      <alignment horizontal="center" vertical="center"/>
    </xf>
    <xf numFmtId="0" fontId="0" fillId="15" borderId="27" xfId="0" applyFill="1" applyBorder="1" applyAlignment="1">
      <alignment horizontal="center"/>
    </xf>
    <xf numFmtId="44" fontId="0" fillId="0" borderId="0" xfId="2" applyFont="1" applyFill="1" applyAlignment="1">
      <alignment horizontal="center"/>
    </xf>
    <xf numFmtId="1" fontId="0" fillId="0" borderId="0" xfId="0" applyNumberFormat="1" applyAlignment="1">
      <alignment horizontal="center"/>
    </xf>
    <xf numFmtId="0" fontId="0" fillId="9" borderId="32" xfId="0" applyFill="1" applyBorder="1" applyAlignment="1">
      <alignment horizontal="center"/>
    </xf>
    <xf numFmtId="0" fontId="0" fillId="9" borderId="22" xfId="0" applyFill="1" applyBorder="1"/>
    <xf numFmtId="0" fontId="0" fillId="9" borderId="20" xfId="0" applyFill="1" applyBorder="1"/>
    <xf numFmtId="0" fontId="0" fillId="9" borderId="17" xfId="0" applyFill="1" applyBorder="1"/>
    <xf numFmtId="0" fontId="39" fillId="9" borderId="0" xfId="0" applyFont="1" applyFill="1" applyBorder="1" applyAlignment="1">
      <alignment horizontal="center"/>
    </xf>
    <xf numFmtId="0" fontId="0" fillId="9" borderId="12" xfId="0" applyFill="1" applyBorder="1"/>
    <xf numFmtId="0" fontId="39" fillId="9" borderId="17" xfId="0" applyFont="1" applyFill="1" applyBorder="1"/>
    <xf numFmtId="0" fontId="39" fillId="9" borderId="0" xfId="0" applyFont="1" applyFill="1" applyBorder="1"/>
    <xf numFmtId="0" fontId="39" fillId="9" borderId="0" xfId="0" quotePrefix="1" applyFont="1" applyFill="1" applyBorder="1"/>
    <xf numFmtId="0" fontId="0" fillId="9" borderId="17" xfId="0" applyFill="1" applyBorder="1" applyAlignment="1">
      <alignment horizontal="right"/>
    </xf>
    <xf numFmtId="0" fontId="39" fillId="9" borderId="21" xfId="0" applyFont="1" applyFill="1" applyBorder="1"/>
    <xf numFmtId="0" fontId="0" fillId="9" borderId="13" xfId="0" applyFill="1" applyBorder="1"/>
    <xf numFmtId="0" fontId="0" fillId="9" borderId="0" xfId="0" applyFill="1" applyProtection="1"/>
    <xf numFmtId="0" fontId="32" fillId="9" borderId="0" xfId="0" applyFont="1" applyFill="1" applyProtection="1"/>
    <xf numFmtId="0" fontId="0" fillId="0" borderId="0" xfId="0" applyProtection="1"/>
    <xf numFmtId="0" fontId="0" fillId="9" borderId="0" xfId="0" applyFill="1" applyAlignment="1" applyProtection="1">
      <alignment horizontal="center" vertical="center"/>
    </xf>
    <xf numFmtId="0" fontId="0" fillId="9" borderId="0" xfId="0" applyFill="1" applyAlignment="1" applyProtection="1">
      <alignment horizontal="center"/>
    </xf>
    <xf numFmtId="0" fontId="0" fillId="9" borderId="0" xfId="0" applyFill="1" applyAlignment="1" applyProtection="1">
      <alignment horizontal="right"/>
    </xf>
    <xf numFmtId="0" fontId="0" fillId="9" borderId="0" xfId="0" applyFill="1" applyBorder="1" applyAlignment="1" applyProtection="1">
      <alignment horizontal="center"/>
    </xf>
    <xf numFmtId="0" fontId="13" fillId="9" borderId="14" xfId="0" applyFont="1" applyFill="1" applyBorder="1" applyAlignment="1" applyProtection="1">
      <alignment horizontal="center" vertical="center"/>
    </xf>
    <xf numFmtId="0" fontId="13" fillId="9" borderId="14" xfId="0" applyFont="1" applyFill="1" applyBorder="1" applyAlignment="1" applyProtection="1"/>
    <xf numFmtId="0" fontId="0" fillId="9" borderId="14" xfId="0" applyFill="1" applyBorder="1" applyProtection="1"/>
    <xf numFmtId="0" fontId="15" fillId="13" borderId="3" xfId="0" applyFont="1" applyFill="1" applyBorder="1" applyAlignment="1" applyProtection="1">
      <alignment horizontal="center" wrapText="1"/>
      <protection locked="0"/>
    </xf>
    <xf numFmtId="0" fontId="15" fillId="13" borderId="1" xfId="0" applyNumberFormat="1" applyFont="1" applyFill="1" applyBorder="1" applyAlignment="1" applyProtection="1">
      <alignment horizontal="center"/>
      <protection locked="0"/>
    </xf>
    <xf numFmtId="3" fontId="15" fillId="13" borderId="7" xfId="0" applyNumberFormat="1" applyFont="1" applyFill="1" applyBorder="1" applyAlignment="1" applyProtection="1">
      <alignment horizontal="center"/>
      <protection locked="0"/>
    </xf>
    <xf numFmtId="3" fontId="27" fillId="13" borderId="7" xfId="0" applyNumberFormat="1" applyFont="1" applyFill="1" applyBorder="1" applyAlignment="1" applyProtection="1">
      <alignment horizontal="center"/>
      <protection locked="0"/>
    </xf>
    <xf numFmtId="3" fontId="27" fillId="13" borderId="11" xfId="0" applyNumberFormat="1" applyFont="1" applyFill="1" applyBorder="1" applyAlignment="1" applyProtection="1">
      <alignment horizontal="center"/>
      <protection locked="0"/>
    </xf>
    <xf numFmtId="0" fontId="15" fillId="14" borderId="7" xfId="0" applyFont="1" applyFill="1" applyBorder="1" applyAlignment="1" applyProtection="1">
      <alignment horizontal="center"/>
      <protection locked="0"/>
    </xf>
    <xf numFmtId="43" fontId="15" fillId="14" borderId="7" xfId="0" applyNumberFormat="1" applyFont="1" applyFill="1" applyBorder="1" applyAlignment="1" applyProtection="1">
      <alignment horizontal="center"/>
      <protection locked="0"/>
    </xf>
    <xf numFmtId="8" fontId="15" fillId="14" borderId="7" xfId="0" applyNumberFormat="1" applyFont="1" applyFill="1" applyBorder="1" applyAlignment="1" applyProtection="1">
      <alignment horizontal="center"/>
      <protection locked="0"/>
    </xf>
    <xf numFmtId="0" fontId="27" fillId="14" borderId="3" xfId="0" applyFont="1" applyFill="1" applyBorder="1" applyAlignment="1" applyProtection="1">
      <alignment horizontal="center"/>
      <protection locked="0"/>
    </xf>
    <xf numFmtId="165" fontId="15" fillId="14" borderId="7" xfId="0" applyNumberFormat="1" applyFont="1" applyFill="1" applyBorder="1" applyAlignment="1" applyProtection="1">
      <alignment horizontal="center"/>
      <protection locked="0"/>
    </xf>
    <xf numFmtId="165" fontId="15" fillId="14" borderId="11" xfId="0" applyNumberFormat="1" applyFont="1" applyFill="1" applyBorder="1" applyAlignment="1" applyProtection="1">
      <alignment horizontal="center"/>
      <protection locked="0"/>
    </xf>
    <xf numFmtId="8" fontId="27" fillId="14" borderId="10" xfId="0" applyNumberFormat="1" applyFont="1" applyFill="1" applyBorder="1" applyAlignment="1" applyProtection="1">
      <alignment horizontal="center"/>
      <protection locked="0"/>
    </xf>
    <xf numFmtId="165" fontId="15" fillId="14" borderId="10" xfId="0" applyNumberFormat="1" applyFont="1" applyFill="1" applyBorder="1" applyAlignment="1" applyProtection="1">
      <alignment horizontal="center"/>
      <protection locked="0"/>
    </xf>
    <xf numFmtId="2" fontId="0" fillId="13" borderId="32" xfId="0" applyNumberFormat="1" applyFill="1" applyBorder="1" applyAlignment="1" applyProtection="1">
      <alignment horizontal="center"/>
      <protection locked="0"/>
    </xf>
    <xf numFmtId="0" fontId="0" fillId="13" borderId="18" xfId="0" applyFill="1" applyBorder="1" applyAlignment="1" applyProtection="1">
      <alignment horizontal="center"/>
      <protection locked="0"/>
    </xf>
    <xf numFmtId="165" fontId="0" fillId="13" borderId="12" xfId="0" applyNumberFormat="1" applyFill="1" applyBorder="1" applyAlignment="1" applyProtection="1">
      <alignment horizontal="center" vertical="center"/>
      <protection locked="0"/>
    </xf>
    <xf numFmtId="171" fontId="0" fillId="12" borderId="32" xfId="0" applyNumberFormat="1" applyFill="1" applyBorder="1" applyAlignment="1">
      <alignment horizontal="center"/>
    </xf>
    <xf numFmtId="2" fontId="0" fillId="12" borderId="33" xfId="0" applyNumberFormat="1" applyFill="1" applyBorder="1" applyAlignment="1">
      <alignment horizontal="center"/>
    </xf>
    <xf numFmtId="2" fontId="0" fillId="0" borderId="0" xfId="0" applyNumberFormat="1" applyAlignment="1">
      <alignment horizontal="center"/>
    </xf>
    <xf numFmtId="0" fontId="41" fillId="9" borderId="0" xfId="0" applyFont="1" applyFill="1" applyAlignment="1">
      <alignment horizontal="center"/>
    </xf>
    <xf numFmtId="0" fontId="33" fillId="12" borderId="27" xfId="0" applyFont="1" applyFill="1" applyBorder="1" applyAlignment="1">
      <alignment horizontal="center"/>
    </xf>
    <xf numFmtId="0" fontId="33" fillId="12" borderId="41" xfId="0" applyFont="1" applyFill="1" applyBorder="1" applyAlignment="1">
      <alignment horizontal="center"/>
    </xf>
    <xf numFmtId="0" fontId="0" fillId="8" borderId="36" xfId="0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34" fillId="8" borderId="22" xfId="0" applyFont="1" applyFill="1" applyBorder="1" applyAlignment="1">
      <alignment horizontal="center"/>
    </xf>
    <xf numFmtId="0" fontId="34" fillId="8" borderId="37" xfId="0" applyFont="1" applyFill="1" applyBorder="1" applyAlignment="1">
      <alignment horizontal="center"/>
    </xf>
    <xf numFmtId="0" fontId="40" fillId="13" borderId="27" xfId="0" quotePrefix="1" applyFont="1" applyFill="1" applyBorder="1" applyAlignment="1" applyProtection="1">
      <alignment horizontal="center"/>
      <protection locked="0"/>
    </xf>
    <xf numFmtId="0" fontId="40" fillId="13" borderId="41" xfId="0" quotePrefix="1" applyFont="1" applyFill="1" applyBorder="1" applyAlignment="1" applyProtection="1">
      <alignment horizontal="center"/>
      <protection locked="0"/>
    </xf>
    <xf numFmtId="165" fontId="28" fillId="10" borderId="17" xfId="0" applyNumberFormat="1" applyFont="1" applyFill="1" applyBorder="1" applyAlignment="1">
      <alignment horizontal="center"/>
    </xf>
    <xf numFmtId="165" fontId="28" fillId="10" borderId="12" xfId="0" applyNumberFormat="1" applyFont="1" applyFill="1" applyBorder="1" applyAlignment="1">
      <alignment horizontal="center"/>
    </xf>
    <xf numFmtId="0" fontId="21" fillId="12" borderId="17" xfId="0" applyFont="1" applyFill="1" applyBorder="1" applyAlignment="1">
      <alignment horizontal="center"/>
    </xf>
    <xf numFmtId="0" fontId="21" fillId="12" borderId="12" xfId="0" applyFont="1" applyFill="1" applyBorder="1" applyAlignment="1">
      <alignment horizontal="center"/>
    </xf>
    <xf numFmtId="165" fontId="24" fillId="9" borderId="17" xfId="0" applyNumberFormat="1" applyFont="1" applyFill="1" applyBorder="1" applyAlignment="1">
      <alignment horizontal="center" vertical="center"/>
    </xf>
    <xf numFmtId="165" fontId="24" fillId="9" borderId="12" xfId="0" applyNumberFormat="1" applyFont="1" applyFill="1" applyBorder="1" applyAlignment="1">
      <alignment horizontal="center" vertical="center"/>
    </xf>
    <xf numFmtId="0" fontId="16" fillId="13" borderId="17" xfId="0" applyFont="1" applyFill="1" applyBorder="1" applyAlignment="1" applyProtection="1">
      <alignment horizontal="center"/>
      <protection locked="0"/>
    </xf>
    <xf numFmtId="0" fontId="16" fillId="13" borderId="12" xfId="0" applyFont="1" applyFill="1" applyBorder="1" applyAlignment="1" applyProtection="1">
      <alignment horizontal="center"/>
      <protection locked="0"/>
    </xf>
    <xf numFmtId="0" fontId="30" fillId="12" borderId="27" xfId="0" applyFont="1" applyFill="1" applyBorder="1" applyAlignment="1">
      <alignment horizontal="center"/>
    </xf>
    <xf numFmtId="0" fontId="30" fillId="12" borderId="29" xfId="0" applyFont="1" applyFill="1" applyBorder="1" applyAlignment="1">
      <alignment horizontal="center"/>
    </xf>
    <xf numFmtId="49" fontId="26" fillId="8" borderId="24" xfId="0" applyNumberFormat="1" applyFont="1" applyFill="1" applyBorder="1" applyAlignment="1">
      <alignment horizontal="center"/>
    </xf>
    <xf numFmtId="49" fontId="26" fillId="8" borderId="26" xfId="0" applyNumberFormat="1" applyFont="1" applyFill="1" applyBorder="1" applyAlignment="1">
      <alignment horizontal="center"/>
    </xf>
    <xf numFmtId="0" fontId="21" fillId="8" borderId="30" xfId="0" applyFont="1" applyFill="1" applyBorder="1" applyAlignment="1">
      <alignment horizontal="center"/>
    </xf>
    <xf numFmtId="0" fontId="21" fillId="8" borderId="31" xfId="0" applyFont="1" applyFill="1" applyBorder="1" applyAlignment="1">
      <alignment horizontal="center"/>
    </xf>
    <xf numFmtId="0" fontId="0" fillId="0" borderId="29" xfId="0" applyBorder="1" applyAlignment="1">
      <alignment horizontal="center"/>
    </xf>
    <xf numFmtId="0" fontId="22" fillId="8" borderId="17" xfId="0" applyFont="1" applyFill="1" applyBorder="1" applyAlignment="1">
      <alignment horizontal="center"/>
    </xf>
    <xf numFmtId="0" fontId="22" fillId="8" borderId="12" xfId="0" applyFont="1" applyFill="1" applyBorder="1" applyAlignment="1">
      <alignment horizontal="center"/>
    </xf>
    <xf numFmtId="0" fontId="30" fillId="12" borderId="27" xfId="0" applyFont="1" applyFill="1" applyBorder="1" applyAlignment="1" applyProtection="1">
      <alignment horizontal="left"/>
      <protection locked="0"/>
    </xf>
    <xf numFmtId="0" fontId="31" fillId="12" borderId="28" xfId="0" applyFont="1" applyFill="1" applyBorder="1" applyAlignment="1" applyProtection="1">
      <alignment horizontal="left"/>
      <protection locked="0"/>
    </xf>
    <xf numFmtId="0" fontId="31" fillId="12" borderId="29" xfId="0" applyFont="1" applyFill="1" applyBorder="1" applyAlignment="1" applyProtection="1">
      <alignment horizontal="left"/>
      <protection locked="0"/>
    </xf>
    <xf numFmtId="0" fontId="0" fillId="8" borderId="0" xfId="0" applyFill="1" applyAlignment="1">
      <alignment horizontal="center"/>
    </xf>
    <xf numFmtId="0" fontId="0" fillId="8" borderId="12" xfId="0" applyFill="1" applyBorder="1" applyAlignment="1">
      <alignment horizontal="center"/>
    </xf>
    <xf numFmtId="0" fontId="0" fillId="8" borderId="0" xfId="0" applyFill="1" applyAlignment="1"/>
    <xf numFmtId="0" fontId="0" fillId="8" borderId="12" xfId="0" applyFill="1" applyBorder="1" applyAlignment="1"/>
    <xf numFmtId="0" fontId="0" fillId="13" borderId="0" xfId="0" applyFill="1" applyAlignment="1" applyProtection="1">
      <alignment horizontal="center"/>
      <protection locked="0"/>
    </xf>
    <xf numFmtId="0" fontId="0" fillId="13" borderId="12" xfId="0" applyFill="1" applyBorder="1" applyAlignment="1" applyProtection="1">
      <alignment horizontal="center"/>
      <protection locked="0"/>
    </xf>
    <xf numFmtId="165" fontId="25" fillId="10" borderId="0" xfId="0" applyNumberFormat="1" applyFont="1" applyFill="1" applyAlignment="1"/>
    <xf numFmtId="165" fontId="25" fillId="10" borderId="12" xfId="0" applyNumberFormat="1" applyFont="1" applyFill="1" applyBorder="1" applyAlignment="1"/>
    <xf numFmtId="165" fontId="25" fillId="10" borderId="0" xfId="0" applyNumberFormat="1" applyFont="1" applyFill="1" applyAlignment="1">
      <alignment horizontal="center"/>
    </xf>
    <xf numFmtId="165" fontId="25" fillId="10" borderId="12" xfId="0" applyNumberFormat="1" applyFont="1" applyFill="1" applyBorder="1" applyAlignment="1">
      <alignment horizontal="center"/>
    </xf>
    <xf numFmtId="0" fontId="0" fillId="12" borderId="0" xfId="0" applyFill="1" applyAlignment="1"/>
    <xf numFmtId="0" fontId="0" fillId="12" borderId="12" xfId="0" applyFill="1" applyBorder="1" applyAlignment="1"/>
    <xf numFmtId="0" fontId="21" fillId="12" borderId="0" xfId="0" applyFont="1" applyFill="1" applyBorder="1" applyAlignment="1">
      <alignment horizontal="center"/>
    </xf>
    <xf numFmtId="0" fontId="25" fillId="9" borderId="0" xfId="0" applyFont="1" applyFill="1" applyBorder="1" applyAlignment="1"/>
    <xf numFmtId="0" fontId="25" fillId="9" borderId="12" xfId="0" applyFont="1" applyFill="1" applyBorder="1" applyAlignment="1"/>
    <xf numFmtId="0" fontId="21" fillId="8" borderId="17" xfId="0" applyFont="1" applyFill="1" applyBorder="1" applyAlignment="1">
      <alignment horizontal="center"/>
    </xf>
    <xf numFmtId="0" fontId="0" fillId="12" borderId="0" xfId="0" applyFill="1" applyAlignment="1">
      <alignment horizontal="center"/>
    </xf>
    <xf numFmtId="0" fontId="0" fillId="12" borderId="12" xfId="0" applyFill="1" applyBorder="1" applyAlignment="1">
      <alignment horizontal="center"/>
    </xf>
    <xf numFmtId="0" fontId="0" fillId="13" borderId="0" xfId="0" applyFill="1" applyAlignment="1" applyProtection="1">
      <protection locked="0"/>
    </xf>
    <xf numFmtId="0" fontId="0" fillId="13" borderId="12" xfId="0" applyFill="1" applyBorder="1" applyAlignment="1" applyProtection="1">
      <protection locked="0"/>
    </xf>
    <xf numFmtId="0" fontId="25" fillId="9" borderId="0" xfId="0" applyFont="1" applyFill="1" applyBorder="1" applyAlignment="1">
      <alignment horizontal="center"/>
    </xf>
    <xf numFmtId="0" fontId="25" fillId="9" borderId="12" xfId="0" applyFont="1" applyFill="1" applyBorder="1" applyAlignment="1">
      <alignment horizontal="center"/>
    </xf>
    <xf numFmtId="0" fontId="11" fillId="13" borderId="0" xfId="0" applyFont="1" applyFill="1" applyAlignment="1" applyProtection="1">
      <protection locked="0"/>
    </xf>
    <xf numFmtId="0" fontId="11" fillId="13" borderId="12" xfId="0" applyFont="1" applyFill="1" applyBorder="1" applyAlignment="1" applyProtection="1">
      <protection locked="0"/>
    </xf>
    <xf numFmtId="49" fontId="26" fillId="8" borderId="25" xfId="0" applyNumberFormat="1" applyFont="1" applyFill="1" applyBorder="1" applyAlignment="1">
      <alignment horizontal="center"/>
    </xf>
    <xf numFmtId="49" fontId="26" fillId="9" borderId="19" xfId="0" applyNumberFormat="1" applyFont="1" applyFill="1" applyBorder="1" applyAlignment="1">
      <alignment horizontal="center"/>
    </xf>
    <xf numFmtId="49" fontId="42" fillId="9" borderId="19" xfId="0" applyNumberFormat="1" applyFont="1" applyFill="1" applyBorder="1" applyAlignment="1">
      <alignment horizontal="right"/>
    </xf>
    <xf numFmtId="49" fontId="16" fillId="9" borderId="19" xfId="0" applyNumberFormat="1" applyFont="1" applyFill="1" applyBorder="1" applyAlignment="1">
      <alignment horizontal="right"/>
    </xf>
    <xf numFmtId="0" fontId="1" fillId="8" borderId="0" xfId="0" applyFont="1" applyFill="1" applyBorder="1" applyAlignment="1">
      <alignment horizontal="center"/>
    </xf>
    <xf numFmtId="0" fontId="0" fillId="8" borderId="0" xfId="0" applyFill="1" applyBorder="1" applyAlignment="1"/>
    <xf numFmtId="3" fontId="0" fillId="8" borderId="0" xfId="0" applyNumberFormat="1" applyFill="1" applyBorder="1" applyAlignment="1">
      <alignment horizontal="center"/>
    </xf>
    <xf numFmtId="0" fontId="0" fillId="8" borderId="0" xfId="0" applyFill="1" applyBorder="1" applyAlignment="1">
      <alignment horizontal="center"/>
    </xf>
    <xf numFmtId="0" fontId="14" fillId="8" borderId="22" xfId="0" applyFont="1" applyFill="1" applyBorder="1" applyAlignment="1">
      <alignment horizontal="center"/>
    </xf>
    <xf numFmtId="0" fontId="0" fillId="8" borderId="20" xfId="0" applyFill="1" applyBorder="1" applyAlignment="1"/>
    <xf numFmtId="0" fontId="0" fillId="8" borderId="17" xfId="0" applyFill="1" applyBorder="1" applyAlignment="1"/>
    <xf numFmtId="0" fontId="0" fillId="8" borderId="21" xfId="0" applyFill="1" applyBorder="1" applyAlignment="1"/>
    <xf numFmtId="0" fontId="0" fillId="8" borderId="13" xfId="0" applyFill="1" applyBorder="1" applyAlignment="1"/>
  </cellXfs>
  <cellStyles count="3">
    <cellStyle name="Monétaire" xfId="2" builtinId="4"/>
    <cellStyle name="Normal" xfId="0" builtinId="0"/>
    <cellStyle name="Titre 2" xfId="1" builtinId="17"/>
  </cellStyles>
  <dxfs count="0"/>
  <tableStyles count="0" defaultTableStyle="TableStyleMedium9" defaultPivotStyle="PivotStyleLight16"/>
  <colors>
    <mruColors>
      <color rgb="FFFFFF99"/>
      <color rgb="FFFFCC00"/>
      <color rgb="FF009A46"/>
      <color rgb="FFFF9900"/>
      <color rgb="FFFABF8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>
                <a:solidFill>
                  <a:schemeClr val="bg1"/>
                </a:solidFill>
              </a:rPr>
              <a:t>Avantage pâturage par tête</a:t>
            </a:r>
          </a:p>
        </c:rich>
      </c:tx>
      <c:layout>
        <c:manualLayout>
          <c:xMode val="edge"/>
          <c:yMode val="edge"/>
          <c:x val="0.36555027787518468"/>
          <c:y val="8.003205206825782E-4"/>
        </c:manualLayout>
      </c:layout>
      <c:overlay val="0"/>
      <c:spPr>
        <a:solidFill>
          <a:schemeClr val="accent3">
            <a:lumMod val="75000"/>
          </a:schemeClr>
        </a:solidFill>
      </c:spPr>
    </c:title>
    <c:autoTitleDeleted val="0"/>
    <c:view3D>
      <c:rotX val="15"/>
      <c:rotY val="20"/>
      <c:rAngAx val="1"/>
    </c:view3D>
    <c:floor>
      <c:thickness val="0"/>
      <c:spPr>
        <a:gradFill>
          <a:gsLst>
            <a:gs pos="35000">
              <a:schemeClr val="accent3">
                <a:lumMod val="75000"/>
              </a:schemeClr>
            </a:gs>
            <a:gs pos="10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</c:spPr>
    </c:floor>
    <c:sideWall>
      <c:thickness val="0"/>
      <c:spPr>
        <a:gradFill>
          <a:gsLst>
            <a:gs pos="100000">
              <a:schemeClr val="accent3">
                <a:lumMod val="60000"/>
                <a:lumOff val="40000"/>
                <a:alpha val="50000"/>
              </a:schemeClr>
            </a:gs>
            <a:gs pos="10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</c:spPr>
    </c:sideWall>
    <c:backWall>
      <c:thickness val="0"/>
      <c:spPr>
        <a:gradFill>
          <a:gsLst>
            <a:gs pos="100000">
              <a:schemeClr val="accent3">
                <a:lumMod val="60000"/>
                <a:lumOff val="40000"/>
                <a:alpha val="50000"/>
              </a:schemeClr>
            </a:gs>
            <a:gs pos="10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5400000" scaled="0"/>
        </a:gradFill>
      </c:spPr>
    </c:backWall>
    <c:plotArea>
      <c:layout>
        <c:manualLayout>
          <c:layoutTarget val="inner"/>
          <c:xMode val="edge"/>
          <c:yMode val="edge"/>
          <c:x val="0.13777415273290042"/>
          <c:y val="6.0219446232944458E-2"/>
          <c:w val="0.89751195289777963"/>
          <c:h val="0.77544800295492566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'FORMULAIRE DE SAISIE'!$E$72</c:f>
              <c:strCache>
                <c:ptCount val="1"/>
                <c:pt idx="0">
                  <c:v>$/tête</c:v>
                </c:pt>
              </c:strCache>
            </c:strRef>
          </c:tx>
          <c:spPr>
            <a:solidFill>
              <a:srgbClr val="FFCC00"/>
            </a:solidFill>
          </c:spPr>
          <c:invertIfNegative val="0"/>
          <c:val>
            <c:numRef>
              <c:f>'FORMULAIRE DE SAISIE'!$E$73:$E$77</c:f>
              <c:numCache>
                <c:formatCode>#,##0.00\ "$"</c:formatCode>
                <c:ptCount val="5"/>
                <c:pt idx="0">
                  <c:v>48.410251816780821</c:v>
                </c:pt>
                <c:pt idx="1">
                  <c:v>48.419559816780819</c:v>
                </c:pt>
                <c:pt idx="2">
                  <c:v>47.912319816780816</c:v>
                </c:pt>
                <c:pt idx="3">
                  <c:v>47.224912816780822</c:v>
                </c:pt>
                <c:pt idx="4">
                  <c:v>46.679420614923437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shape val="cylinder"/>
        <c:axId val="229148544"/>
        <c:axId val="229150080"/>
        <c:axId val="0"/>
      </c:bar3DChart>
      <c:catAx>
        <c:axId val="22914854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endParaRPr lang="fr-FR"/>
          </a:p>
        </c:txPr>
        <c:crossAx val="229150080"/>
        <c:crosses val="autoZero"/>
        <c:auto val="1"/>
        <c:lblAlgn val="ctr"/>
        <c:lblOffset val="100"/>
        <c:noMultiLvlLbl val="0"/>
      </c:catAx>
      <c:valAx>
        <c:axId val="22915008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50000"/>
                </a:schemeClr>
              </a:solidFill>
            </a:ln>
          </c:spPr>
        </c:majorGridlines>
        <c:numFmt formatCode="#,##0.00\ &quot;$&quot;" sourceLinked="1"/>
        <c:majorTickMark val="none"/>
        <c:minorTickMark val="none"/>
        <c:tickLblPos val="nextTo"/>
        <c:spPr>
          <a:solidFill>
            <a:schemeClr val="accent3">
              <a:lumMod val="50000"/>
            </a:schemeClr>
          </a:solidFill>
          <a:ln>
            <a:noFill/>
          </a:ln>
        </c:spPr>
        <c:txPr>
          <a:bodyPr/>
          <a:lstStyle/>
          <a:p>
            <a:pPr>
              <a:defRPr sz="1200" b="1">
                <a:solidFill>
                  <a:schemeClr val="bg1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229148544"/>
        <c:crosses val="autoZero"/>
        <c:crossBetween val="between"/>
      </c:valAx>
    </c:plotArea>
    <c:legend>
      <c:legendPos val="b"/>
      <c:legendEntry>
        <c:idx val="0"/>
        <c:txPr>
          <a:bodyPr/>
          <a:lstStyle/>
          <a:p>
            <a:pPr rtl="0">
              <a:defRPr sz="1400" b="1" baseline="0">
                <a:solidFill>
                  <a:schemeClr val="bg1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</c:legendEntry>
      <c:layout>
        <c:manualLayout>
          <c:xMode val="edge"/>
          <c:yMode val="edge"/>
          <c:x val="0.42123056331106024"/>
          <c:y val="0.91908242683321417"/>
          <c:w val="0.21597180830483839"/>
          <c:h val="8.0917573166785842E-2"/>
        </c:manualLayout>
      </c:layout>
      <c:overlay val="0"/>
      <c:spPr>
        <a:solidFill>
          <a:schemeClr val="accent3">
            <a:lumMod val="50000"/>
          </a:schemeClr>
        </a:solidFill>
      </c:spPr>
      <c:txPr>
        <a:bodyPr/>
        <a:lstStyle/>
        <a:p>
          <a:pPr rtl="0">
            <a:defRPr sz="14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g"/><Relationship Id="rId3" Type="http://schemas.openxmlformats.org/officeDocument/2006/relationships/image" Target="../media/image2.gif"/><Relationship Id="rId7" Type="http://schemas.openxmlformats.org/officeDocument/2006/relationships/image" Target="../media/image5.jpeg"/><Relationship Id="rId2" Type="http://schemas.microsoft.com/office/2007/relationships/hdphoto" Target="../media/hdphoto1.wdp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638175</xdr:colOff>
      <xdr:row>30</xdr:row>
      <xdr:rowOff>200025</xdr:rowOff>
    </xdr:from>
    <xdr:to>
      <xdr:col>14</xdr:col>
      <xdr:colOff>971550</xdr:colOff>
      <xdr:row>49</xdr:row>
      <xdr:rowOff>57149</xdr:rowOff>
    </xdr:to>
    <xdr:pic>
      <xdr:nvPicPr>
        <xdr:cNvPr id="8" name="Image 7" descr="C:\Users\AGRH649\AppData\Local\Microsoft\Windows\INetCache\IE\N6RL45XE\MP900422986[1].jpg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7000"/>
                  </a14:imgEffect>
                  <a14:imgEffect>
                    <a14:brightnessContrast bright="-30000" contrast="9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7007" t="55813" b="17860"/>
        <a:stretch/>
      </xdr:blipFill>
      <xdr:spPr bwMode="auto">
        <a:xfrm>
          <a:off x="9580012" y="8548979"/>
          <a:ext cx="7447967" cy="3637966"/>
        </a:xfrm>
        <a:prstGeom prst="round2DiagRect">
          <a:avLst>
            <a:gd name="adj1" fmla="val 16667"/>
            <a:gd name="adj2" fmla="val 0"/>
          </a:avLst>
        </a:prstGeom>
        <a:ln w="88900" cap="sq">
          <a:solidFill>
            <a:schemeClr val="bg2">
              <a:lumMod val="75000"/>
            </a:schemeClr>
          </a:solidFill>
          <a:miter lim="800000"/>
        </a:ln>
        <a:effectLst>
          <a:outerShdw blurRad="254000" algn="tl" rotWithShape="0">
            <a:srgbClr val="000000">
              <a:alpha val="43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97156</xdr:colOff>
      <xdr:row>2</xdr:row>
      <xdr:rowOff>201931</xdr:rowOff>
    </xdr:from>
    <xdr:to>
      <xdr:col>2</xdr:col>
      <xdr:colOff>1247775</xdr:colOff>
      <xdr:row>5</xdr:row>
      <xdr:rowOff>85920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931" y="802006"/>
          <a:ext cx="2455544" cy="760289"/>
        </a:xfrm>
        <a:prstGeom prst="rect">
          <a:avLst/>
        </a:prstGeom>
      </xdr:spPr>
    </xdr:pic>
    <xdr:clientData/>
  </xdr:twoCellAnchor>
  <xdr:twoCellAnchor>
    <xdr:from>
      <xdr:col>10</xdr:col>
      <xdr:colOff>573444</xdr:colOff>
      <xdr:row>31</xdr:row>
      <xdr:rowOff>123825</xdr:rowOff>
    </xdr:from>
    <xdr:to>
      <xdr:col>14</xdr:col>
      <xdr:colOff>800100</xdr:colOff>
      <xdr:row>48</xdr:row>
      <xdr:rowOff>9720</xdr:rowOff>
    </xdr:to>
    <xdr:graphicFrame macro="">
      <xdr:nvGraphicFramePr>
        <xdr:cNvPr id="6" name="Graphique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942784</xdr:colOff>
      <xdr:row>31</xdr:row>
      <xdr:rowOff>145793</xdr:rowOff>
    </xdr:from>
    <xdr:to>
      <xdr:col>10</xdr:col>
      <xdr:colOff>524849</xdr:colOff>
      <xdr:row>39</xdr:row>
      <xdr:rowOff>83184</xdr:rowOff>
    </xdr:to>
    <xdr:pic>
      <xdr:nvPicPr>
        <xdr:cNvPr id="25" name="Image 24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84621" y="8718293"/>
          <a:ext cx="1973034" cy="1521651"/>
        </a:xfrm>
        <a:prstGeom prst="rect">
          <a:avLst/>
        </a:prstGeom>
        <a:noFill/>
        <a:effectLst>
          <a:softEdge rad="63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933062</xdr:colOff>
      <xdr:row>39</xdr:row>
      <xdr:rowOff>87476</xdr:rowOff>
    </xdr:from>
    <xdr:to>
      <xdr:col>10</xdr:col>
      <xdr:colOff>493258</xdr:colOff>
      <xdr:row>47</xdr:row>
      <xdr:rowOff>68035</xdr:rowOff>
    </xdr:to>
    <xdr:pic>
      <xdr:nvPicPr>
        <xdr:cNvPr id="30" name="Image 29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74899" y="10244236"/>
          <a:ext cx="1951165" cy="1555100"/>
        </a:xfrm>
        <a:prstGeom prst="rect">
          <a:avLst/>
        </a:prstGeom>
        <a:noFill/>
        <a:effectLst>
          <a:softEdge rad="63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272145</xdr:colOff>
      <xdr:row>45</xdr:row>
      <xdr:rowOff>9718</xdr:rowOff>
    </xdr:from>
    <xdr:to>
      <xdr:col>6</xdr:col>
      <xdr:colOff>962220</xdr:colOff>
      <xdr:row>49</xdr:row>
      <xdr:rowOff>19439</xdr:rowOff>
    </xdr:to>
    <xdr:sp macro="" textlink="">
      <xdr:nvSpPr>
        <xdr:cNvPr id="3" name="ZoneTexte 2"/>
        <xdr:cNvSpPr txBox="1"/>
      </xdr:nvSpPr>
      <xdr:spPr>
        <a:xfrm>
          <a:off x="5569211" y="11352244"/>
          <a:ext cx="1943876" cy="796991"/>
        </a:xfrm>
        <a:prstGeom prst="rect">
          <a:avLst/>
        </a:prstGeom>
        <a:ln w="19050"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fr-CA" sz="1100"/>
            <a:t>* Prévoir 3 500$ environ pour un système solaire à ajouter. Donc, un coût de 8 500$ au lieu de 5 000$.</a:t>
          </a:r>
        </a:p>
      </xdr:txBody>
    </xdr:sp>
    <xdr:clientData/>
  </xdr:twoCellAnchor>
  <xdr:twoCellAnchor>
    <xdr:from>
      <xdr:col>4</xdr:col>
      <xdr:colOff>991378</xdr:colOff>
      <xdr:row>45</xdr:row>
      <xdr:rowOff>19438</xdr:rowOff>
    </xdr:from>
    <xdr:to>
      <xdr:col>5</xdr:col>
      <xdr:colOff>262424</xdr:colOff>
      <xdr:row>45</xdr:row>
      <xdr:rowOff>87474</xdr:rowOff>
    </xdr:to>
    <xdr:cxnSp macro="">
      <xdr:nvCxnSpPr>
        <xdr:cNvPr id="5" name="Connecteur droit avec flèche 4"/>
        <xdr:cNvCxnSpPr/>
      </xdr:nvCxnSpPr>
      <xdr:spPr>
        <a:xfrm flipH="1">
          <a:off x="5180434" y="11361964"/>
          <a:ext cx="379056" cy="68036"/>
        </a:xfrm>
        <a:prstGeom prst="straightConnector1">
          <a:avLst/>
        </a:prstGeom>
        <a:ln w="1905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13</xdr:col>
      <xdr:colOff>58314</xdr:colOff>
      <xdr:row>10</xdr:row>
      <xdr:rowOff>412345</xdr:rowOff>
    </xdr:from>
    <xdr:to>
      <xdr:col>14</xdr:col>
      <xdr:colOff>1059412</xdr:colOff>
      <xdr:row>14</xdr:row>
      <xdr:rowOff>87475</xdr:rowOff>
    </xdr:to>
    <xdr:pic>
      <xdr:nvPicPr>
        <xdr:cNvPr id="4" name="Image 3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977574" y="3532268"/>
          <a:ext cx="2138267" cy="1424620"/>
        </a:xfrm>
        <a:prstGeom prst="rect">
          <a:avLst/>
        </a:prstGeom>
        <a:effectLst>
          <a:softEdge rad="63500"/>
        </a:effectLst>
      </xdr:spPr>
    </xdr:pic>
    <xdr:clientData/>
  </xdr:twoCellAnchor>
  <xdr:twoCellAnchor editAs="oneCell">
    <xdr:from>
      <xdr:col>13</xdr:col>
      <xdr:colOff>51077</xdr:colOff>
      <xdr:row>7</xdr:row>
      <xdr:rowOff>136070</xdr:rowOff>
    </xdr:from>
    <xdr:to>
      <xdr:col>14</xdr:col>
      <xdr:colOff>1041917</xdr:colOff>
      <xdr:row>10</xdr:row>
      <xdr:rowOff>348651</xdr:rowOff>
    </xdr:to>
    <xdr:pic>
      <xdr:nvPicPr>
        <xdr:cNvPr id="9" name="Image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970337" y="1992473"/>
          <a:ext cx="2128009" cy="1476101"/>
        </a:xfrm>
        <a:prstGeom prst="rect">
          <a:avLst/>
        </a:prstGeom>
        <a:effectLst>
          <a:softEdge rad="63500"/>
        </a:effec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0"/>
  <sheetViews>
    <sheetView workbookViewId="0">
      <selection activeCell="B42" sqref="B42"/>
    </sheetView>
  </sheetViews>
  <sheetFormatPr baseColWidth="10" defaultRowHeight="14.4" x14ac:dyDescent="0.3"/>
  <cols>
    <col min="3" max="3" width="5.33203125" customWidth="1"/>
    <col min="4" max="4" width="5.44140625" customWidth="1"/>
  </cols>
  <sheetData>
    <row r="1" spans="2:10" ht="15.75" thickBot="1" x14ac:dyDescent="0.3"/>
    <row r="2" spans="2:10" ht="15" x14ac:dyDescent="0.25">
      <c r="B2" s="259"/>
      <c r="C2" s="215"/>
      <c r="D2" s="215"/>
      <c r="E2" s="215"/>
      <c r="F2" s="215"/>
      <c r="G2" s="215"/>
      <c r="H2" s="215"/>
      <c r="I2" s="215"/>
      <c r="J2" s="260"/>
    </row>
    <row r="3" spans="2:10" ht="15.6" x14ac:dyDescent="0.3">
      <c r="B3" s="261"/>
      <c r="C3" s="133"/>
      <c r="D3" s="133"/>
      <c r="E3" s="133"/>
      <c r="F3" s="262" t="s">
        <v>294</v>
      </c>
      <c r="G3" s="133"/>
      <c r="H3" s="133"/>
      <c r="I3" s="133"/>
      <c r="J3" s="263"/>
    </row>
    <row r="4" spans="2:10" ht="15" x14ac:dyDescent="0.25">
      <c r="B4" s="261"/>
      <c r="C4" s="133"/>
      <c r="D4" s="133"/>
      <c r="E4" s="133"/>
      <c r="F4" s="133"/>
      <c r="G4" s="133"/>
      <c r="H4" s="133"/>
      <c r="I4" s="133"/>
      <c r="J4" s="263"/>
    </row>
    <row r="5" spans="2:10" ht="15.6" x14ac:dyDescent="0.3">
      <c r="B5" s="264" t="s">
        <v>295</v>
      </c>
      <c r="C5" s="133"/>
      <c r="D5" s="133"/>
      <c r="E5" s="133"/>
      <c r="F5" s="133"/>
      <c r="G5" s="133"/>
      <c r="H5" s="133"/>
      <c r="I5" s="133"/>
      <c r="J5" s="263"/>
    </row>
    <row r="6" spans="2:10" ht="15.6" x14ac:dyDescent="0.3">
      <c r="B6" s="264" t="s">
        <v>296</v>
      </c>
      <c r="C6" s="133"/>
      <c r="D6" s="133"/>
      <c r="E6" s="133"/>
      <c r="F6" s="133"/>
      <c r="G6" s="133"/>
      <c r="H6" s="133"/>
      <c r="I6" s="133"/>
      <c r="J6" s="263"/>
    </row>
    <row r="7" spans="2:10" ht="15.6" x14ac:dyDescent="0.3">
      <c r="B7" s="264" t="s">
        <v>297</v>
      </c>
      <c r="C7" s="265"/>
      <c r="D7" s="265"/>
      <c r="E7" s="133"/>
      <c r="F7" s="133"/>
      <c r="G7" s="133"/>
      <c r="H7" s="133"/>
      <c r="I7" s="133"/>
      <c r="J7" s="263"/>
    </row>
    <row r="8" spans="2:10" ht="15.6" x14ac:dyDescent="0.3">
      <c r="B8" s="264" t="s">
        <v>298</v>
      </c>
      <c r="C8" s="265"/>
      <c r="D8" s="265"/>
      <c r="E8" s="133"/>
      <c r="F8" s="133"/>
      <c r="G8" s="133"/>
      <c r="H8" s="133"/>
      <c r="I8" s="133"/>
      <c r="J8" s="263"/>
    </row>
    <row r="9" spans="2:10" ht="15.75" x14ac:dyDescent="0.25">
      <c r="B9" s="264" t="s">
        <v>299</v>
      </c>
      <c r="C9" s="265"/>
      <c r="D9" s="265"/>
      <c r="E9" s="133"/>
      <c r="F9" s="133"/>
      <c r="G9" s="133"/>
      <c r="H9" s="133"/>
      <c r="I9" s="133"/>
      <c r="J9" s="263"/>
    </row>
    <row r="10" spans="2:10" ht="15.75" x14ac:dyDescent="0.25">
      <c r="B10" s="264"/>
      <c r="C10" s="265"/>
      <c r="D10" s="265"/>
      <c r="E10" s="133"/>
      <c r="F10" s="133"/>
      <c r="G10" s="133"/>
      <c r="H10" s="133"/>
      <c r="I10" s="133"/>
      <c r="J10" s="263"/>
    </row>
    <row r="11" spans="2:10" ht="15.6" x14ac:dyDescent="0.3">
      <c r="B11" s="264"/>
      <c r="C11" s="266" t="s">
        <v>310</v>
      </c>
      <c r="D11" s="265"/>
      <c r="E11" s="133"/>
      <c r="F11" s="133"/>
      <c r="G11" s="133"/>
      <c r="H11" s="133"/>
      <c r="I11" s="133"/>
      <c r="J11" s="263"/>
    </row>
    <row r="12" spans="2:10" ht="15.6" x14ac:dyDescent="0.3">
      <c r="B12" s="264"/>
      <c r="C12" s="266" t="s">
        <v>311</v>
      </c>
      <c r="D12" s="265"/>
      <c r="E12" s="133"/>
      <c r="F12" s="133"/>
      <c r="G12" s="133"/>
      <c r="H12" s="133"/>
      <c r="I12" s="133"/>
      <c r="J12" s="263"/>
    </row>
    <row r="13" spans="2:10" ht="15.6" x14ac:dyDescent="0.3">
      <c r="B13" s="264"/>
      <c r="C13" s="265" t="s">
        <v>300</v>
      </c>
      <c r="D13" s="265"/>
      <c r="E13" s="133"/>
      <c r="F13" s="133"/>
      <c r="G13" s="133"/>
      <c r="H13" s="133"/>
      <c r="I13" s="133"/>
      <c r="J13" s="263"/>
    </row>
    <row r="14" spans="2:10" ht="15.6" x14ac:dyDescent="0.3">
      <c r="B14" s="264"/>
      <c r="C14" s="266" t="s">
        <v>318</v>
      </c>
      <c r="D14" s="265"/>
      <c r="E14" s="133"/>
      <c r="F14" s="133"/>
      <c r="G14" s="133"/>
      <c r="H14" s="133"/>
      <c r="I14" s="133"/>
      <c r="J14" s="263"/>
    </row>
    <row r="15" spans="2:10" ht="15.6" x14ac:dyDescent="0.3">
      <c r="B15" s="264"/>
      <c r="C15" s="265" t="s">
        <v>301</v>
      </c>
      <c r="D15" s="265"/>
      <c r="E15" s="133"/>
      <c r="F15" s="133"/>
      <c r="G15" s="133"/>
      <c r="H15" s="133"/>
      <c r="I15" s="133"/>
      <c r="J15" s="263"/>
    </row>
    <row r="16" spans="2:10" ht="15.75" x14ac:dyDescent="0.25">
      <c r="B16" s="264"/>
      <c r="C16" s="265"/>
      <c r="D16" s="265"/>
      <c r="E16" s="133"/>
      <c r="F16" s="133"/>
      <c r="G16" s="133"/>
      <c r="H16" s="133"/>
      <c r="I16" s="133"/>
      <c r="J16" s="263"/>
    </row>
    <row r="17" spans="2:10" ht="15.6" x14ac:dyDescent="0.3">
      <c r="B17" s="264" t="s">
        <v>314</v>
      </c>
      <c r="C17" s="265"/>
      <c r="D17" s="265"/>
      <c r="E17" s="133"/>
      <c r="F17" s="133"/>
      <c r="G17" s="133"/>
      <c r="H17" s="133"/>
      <c r="I17" s="133"/>
      <c r="J17" s="263"/>
    </row>
    <row r="18" spans="2:10" ht="15.6" x14ac:dyDescent="0.3">
      <c r="B18" s="264" t="s">
        <v>302</v>
      </c>
      <c r="C18" s="265"/>
      <c r="D18" s="265"/>
      <c r="E18" s="133"/>
      <c r="F18" s="133"/>
      <c r="G18" s="133"/>
      <c r="H18" s="133"/>
      <c r="I18" s="133"/>
      <c r="J18" s="263"/>
    </row>
    <row r="19" spans="2:10" ht="15.6" x14ac:dyDescent="0.3">
      <c r="B19" s="264" t="s">
        <v>320</v>
      </c>
      <c r="C19" s="265"/>
      <c r="D19" s="265"/>
      <c r="E19" s="133"/>
      <c r="F19" s="133"/>
      <c r="G19" s="133"/>
      <c r="H19" s="133"/>
      <c r="I19" s="133"/>
      <c r="J19" s="263"/>
    </row>
    <row r="20" spans="2:10" ht="15.75" x14ac:dyDescent="0.25">
      <c r="B20" s="264"/>
      <c r="C20" s="265"/>
      <c r="D20" s="265"/>
      <c r="E20" s="133"/>
      <c r="F20" s="133"/>
      <c r="G20" s="133"/>
      <c r="H20" s="133"/>
      <c r="I20" s="133"/>
      <c r="J20" s="263"/>
    </row>
    <row r="21" spans="2:10" ht="15.6" x14ac:dyDescent="0.3">
      <c r="B21" s="264"/>
      <c r="C21" s="265" t="s">
        <v>303</v>
      </c>
      <c r="D21" s="265"/>
      <c r="E21" s="133"/>
      <c r="F21" s="133"/>
      <c r="G21" s="133"/>
      <c r="H21" s="133"/>
      <c r="I21" s="133"/>
      <c r="J21" s="263"/>
    </row>
    <row r="22" spans="2:10" ht="15.6" x14ac:dyDescent="0.3">
      <c r="B22" s="264"/>
      <c r="C22" s="265" t="s">
        <v>304</v>
      </c>
      <c r="D22" s="265"/>
      <c r="E22" s="133"/>
      <c r="F22" s="133"/>
      <c r="G22" s="133"/>
      <c r="H22" s="133"/>
      <c r="I22" s="133"/>
      <c r="J22" s="263"/>
    </row>
    <row r="23" spans="2:10" ht="15.6" x14ac:dyDescent="0.3">
      <c r="B23" s="264"/>
      <c r="C23" s="265" t="s">
        <v>316</v>
      </c>
      <c r="D23" s="265"/>
      <c r="E23" s="133"/>
      <c r="F23" s="133"/>
      <c r="G23" s="133"/>
      <c r="H23" s="133"/>
      <c r="I23" s="133"/>
      <c r="J23" s="263"/>
    </row>
    <row r="24" spans="2:10" ht="15" x14ac:dyDescent="0.25">
      <c r="B24" s="261"/>
      <c r="C24" s="133"/>
      <c r="D24" s="133"/>
      <c r="E24" s="133"/>
      <c r="F24" s="133"/>
      <c r="G24" s="133"/>
      <c r="H24" s="133"/>
      <c r="I24" s="133"/>
      <c r="J24" s="263"/>
    </row>
    <row r="25" spans="2:10" x14ac:dyDescent="0.3">
      <c r="B25" s="267" t="s">
        <v>315</v>
      </c>
      <c r="C25" s="133"/>
      <c r="D25" s="133"/>
      <c r="E25" s="133"/>
      <c r="F25" s="133"/>
      <c r="G25" s="133"/>
      <c r="H25" s="133"/>
      <c r="I25" s="133"/>
      <c r="J25" s="263"/>
    </row>
    <row r="26" spans="2:10" ht="15" x14ac:dyDescent="0.25">
      <c r="B26" s="261"/>
      <c r="C26" s="258">
        <v>1</v>
      </c>
      <c r="D26" s="258">
        <v>2</v>
      </c>
      <c r="E26" s="133"/>
      <c r="F26" s="133"/>
      <c r="G26" s="133"/>
      <c r="H26" s="133"/>
      <c r="I26" s="133"/>
      <c r="J26" s="263"/>
    </row>
    <row r="27" spans="2:10" ht="15" x14ac:dyDescent="0.25">
      <c r="B27" s="261"/>
      <c r="C27" s="258">
        <v>3</v>
      </c>
      <c r="D27" s="258">
        <v>4</v>
      </c>
      <c r="E27" s="133"/>
      <c r="F27" s="133"/>
      <c r="G27" s="133"/>
      <c r="H27" s="133"/>
      <c r="I27" s="133"/>
      <c r="J27" s="263"/>
    </row>
    <row r="28" spans="2:10" ht="15" x14ac:dyDescent="0.25">
      <c r="B28" s="261"/>
      <c r="C28" s="258">
        <v>5</v>
      </c>
      <c r="D28" s="258">
        <v>6</v>
      </c>
      <c r="E28" s="133"/>
      <c r="F28" s="133"/>
      <c r="G28" s="133"/>
      <c r="H28" s="133"/>
      <c r="I28" s="133"/>
      <c r="J28" s="263"/>
    </row>
    <row r="29" spans="2:10" ht="15" x14ac:dyDescent="0.25">
      <c r="B29" s="261"/>
      <c r="C29" s="133"/>
      <c r="D29" s="133"/>
      <c r="E29" s="133"/>
      <c r="F29" s="133"/>
      <c r="G29" s="133"/>
      <c r="H29" s="133"/>
      <c r="I29" s="133"/>
      <c r="J29" s="263"/>
    </row>
    <row r="30" spans="2:10" ht="15.6" x14ac:dyDescent="0.3">
      <c r="B30" s="264" t="s">
        <v>319</v>
      </c>
      <c r="C30" s="133"/>
      <c r="D30" s="133"/>
      <c r="E30" s="133"/>
      <c r="F30" s="133"/>
      <c r="G30" s="133"/>
      <c r="H30" s="133"/>
      <c r="I30" s="133"/>
      <c r="J30" s="263"/>
    </row>
    <row r="31" spans="2:10" ht="15.6" x14ac:dyDescent="0.3">
      <c r="B31" s="264" t="s">
        <v>321</v>
      </c>
      <c r="C31" s="133"/>
      <c r="D31" s="133"/>
      <c r="E31" s="133"/>
      <c r="F31" s="133"/>
      <c r="G31" s="133"/>
      <c r="H31" s="133"/>
      <c r="I31" s="133"/>
      <c r="J31" s="263"/>
    </row>
    <row r="32" spans="2:10" ht="15.6" x14ac:dyDescent="0.3">
      <c r="B32" s="264" t="s">
        <v>312</v>
      </c>
      <c r="C32" s="133"/>
      <c r="D32" s="133"/>
      <c r="E32" s="133"/>
      <c r="F32" s="133"/>
      <c r="G32" s="133"/>
      <c r="H32" s="133"/>
      <c r="I32" s="133"/>
      <c r="J32" s="263"/>
    </row>
    <row r="33" spans="2:10" x14ac:dyDescent="0.3">
      <c r="B33" s="261"/>
      <c r="C33" s="133"/>
      <c r="D33" s="133"/>
      <c r="E33" s="133"/>
      <c r="F33" s="133"/>
      <c r="G33" s="133"/>
      <c r="H33" s="133"/>
      <c r="I33" s="133"/>
      <c r="J33" s="263"/>
    </row>
    <row r="34" spans="2:10" ht="15.6" x14ac:dyDescent="0.3">
      <c r="B34" s="261"/>
      <c r="C34" s="133"/>
      <c r="D34" s="133"/>
      <c r="E34" s="133"/>
      <c r="F34" s="262" t="s">
        <v>317</v>
      </c>
      <c r="G34" s="133"/>
      <c r="H34" s="133"/>
      <c r="I34" s="133"/>
      <c r="J34" s="263"/>
    </row>
    <row r="35" spans="2:10" x14ac:dyDescent="0.3">
      <c r="B35" s="261"/>
      <c r="C35" s="133"/>
      <c r="D35" s="133"/>
      <c r="E35" s="133"/>
      <c r="F35" s="133"/>
      <c r="G35" s="133"/>
      <c r="H35" s="133"/>
      <c r="I35" s="133"/>
      <c r="J35" s="263"/>
    </row>
    <row r="36" spans="2:10" ht="15.6" x14ac:dyDescent="0.3">
      <c r="B36" s="264" t="s">
        <v>305</v>
      </c>
      <c r="C36" s="133"/>
      <c r="D36" s="133"/>
      <c r="E36" s="133"/>
      <c r="F36" s="133"/>
      <c r="G36" s="133"/>
      <c r="H36" s="133"/>
      <c r="I36" s="133"/>
      <c r="J36" s="263"/>
    </row>
    <row r="37" spans="2:10" ht="15.6" x14ac:dyDescent="0.3">
      <c r="B37" s="264" t="s">
        <v>306</v>
      </c>
      <c r="C37" s="133"/>
      <c r="D37" s="133"/>
      <c r="E37" s="133"/>
      <c r="F37" s="133"/>
      <c r="G37" s="133"/>
      <c r="H37" s="133"/>
      <c r="I37" s="133"/>
      <c r="J37" s="263"/>
    </row>
    <row r="38" spans="2:10" ht="15.6" x14ac:dyDescent="0.3">
      <c r="B38" s="264" t="s">
        <v>307</v>
      </c>
      <c r="C38" s="133"/>
      <c r="D38" s="133"/>
      <c r="E38" s="133"/>
      <c r="F38" s="133"/>
      <c r="G38" s="133"/>
      <c r="H38" s="133"/>
      <c r="I38" s="133"/>
      <c r="J38" s="263"/>
    </row>
    <row r="39" spans="2:10" ht="15.6" x14ac:dyDescent="0.3">
      <c r="B39" s="264" t="s">
        <v>308</v>
      </c>
      <c r="C39" s="133"/>
      <c r="D39" s="133"/>
      <c r="E39" s="133"/>
      <c r="F39" s="133"/>
      <c r="G39" s="133"/>
      <c r="H39" s="133"/>
      <c r="I39" s="133"/>
      <c r="J39" s="263"/>
    </row>
    <row r="40" spans="2:10" ht="16.2" thickBot="1" x14ac:dyDescent="0.35">
      <c r="B40" s="268" t="s">
        <v>309</v>
      </c>
      <c r="C40" s="120"/>
      <c r="D40" s="120"/>
      <c r="E40" s="120"/>
      <c r="F40" s="120"/>
      <c r="G40" s="120"/>
      <c r="H40" s="120"/>
      <c r="I40" s="120"/>
      <c r="J40" s="269"/>
    </row>
  </sheetData>
  <sheetProtection password="E52D" sheet="1" objects="1" scenarios="1" selectLockedCells="1" selectUnlockedCells="1"/>
  <pageMargins left="0.7" right="0.7" top="0.75" bottom="0.75" header="0.3" footer="0.3"/>
  <pageSetup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euil5">
    <tabColor rgb="FFFFFF00"/>
    <pageSetUpPr fitToPage="1"/>
  </sheetPr>
  <dimension ref="A1:AD146"/>
  <sheetViews>
    <sheetView tabSelected="1" topLeftCell="H1" zoomScale="98" zoomScaleNormal="98" workbookViewId="0">
      <selection activeCell="B20" sqref="B20:C20"/>
    </sheetView>
  </sheetViews>
  <sheetFormatPr baseColWidth="10" defaultRowHeight="14.4" x14ac:dyDescent="0.3"/>
  <cols>
    <col min="1" max="1" width="1.5546875" customWidth="1"/>
    <col min="2" max="2" width="19.5546875" customWidth="1"/>
    <col min="3" max="3" width="25.88671875" customWidth="1"/>
    <col min="4" max="4" width="15.88671875" style="4" customWidth="1"/>
    <col min="5" max="5" width="16.5546875" style="3" customWidth="1"/>
    <col min="6" max="6" width="18.88671875" style="5" customWidth="1"/>
    <col min="7" max="7" width="17.88671875" style="3" customWidth="1"/>
    <col min="8" max="8" width="17.88671875" customWidth="1"/>
    <col min="9" max="13" width="17.88671875" style="3" customWidth="1"/>
    <col min="14" max="14" width="17" style="3" customWidth="1"/>
    <col min="15" max="15" width="16.33203125" customWidth="1"/>
    <col min="16" max="18" width="11.44140625" style="15"/>
    <col min="19" max="19" width="11.44140625" style="15" customWidth="1"/>
    <col min="20" max="29" width="11.44140625" hidden="1" customWidth="1"/>
    <col min="30" max="30" width="11.44140625" customWidth="1"/>
  </cols>
  <sheetData>
    <row r="1" spans="1:30" ht="7.5" customHeight="1" x14ac:dyDescent="0.3">
      <c r="A1" s="270"/>
      <c r="B1" s="271"/>
      <c r="C1" s="272"/>
      <c r="D1" s="273"/>
      <c r="E1" s="274"/>
      <c r="F1" s="275"/>
      <c r="G1" s="274"/>
      <c r="H1" s="270"/>
      <c r="I1" s="274"/>
      <c r="J1" s="274"/>
      <c r="K1" s="274"/>
      <c r="L1" s="274"/>
      <c r="M1" s="274"/>
      <c r="N1" s="274"/>
      <c r="O1" s="270"/>
      <c r="P1" s="133"/>
      <c r="Q1" s="133"/>
      <c r="R1" s="133"/>
      <c r="S1" s="133"/>
      <c r="AD1" s="112"/>
    </row>
    <row r="2" spans="1:30" ht="26.4" thickBot="1" x14ac:dyDescent="0.55000000000000004">
      <c r="A2" s="270"/>
      <c r="B2" s="271" t="s">
        <v>289</v>
      </c>
      <c r="C2" s="276"/>
      <c r="D2" s="277"/>
      <c r="E2" s="278"/>
      <c r="F2" s="278"/>
      <c r="G2" s="278"/>
      <c r="H2" s="278"/>
      <c r="I2" s="277" t="s">
        <v>290</v>
      </c>
      <c r="J2" s="277"/>
      <c r="K2" s="278"/>
      <c r="L2" s="278"/>
      <c r="M2" s="278"/>
      <c r="N2" s="278"/>
      <c r="O2" s="279"/>
      <c r="P2" s="133"/>
      <c r="Q2" s="133"/>
      <c r="R2" s="133"/>
      <c r="S2" s="133"/>
      <c r="AD2" s="112"/>
    </row>
    <row r="3" spans="1:30" ht="16.5" customHeight="1" x14ac:dyDescent="0.35">
      <c r="A3" s="112"/>
      <c r="B3" s="222"/>
      <c r="C3" s="210"/>
      <c r="D3" s="219"/>
      <c r="E3" s="209"/>
      <c r="F3" s="209"/>
      <c r="G3" s="220"/>
      <c r="H3" s="220"/>
      <c r="I3" s="221" t="s">
        <v>234</v>
      </c>
      <c r="J3" s="221"/>
      <c r="K3" s="220"/>
      <c r="L3" s="209"/>
      <c r="M3" s="209"/>
      <c r="N3" s="209"/>
      <c r="O3" s="122"/>
      <c r="P3" s="133"/>
      <c r="Q3" s="133"/>
      <c r="R3" s="133"/>
      <c r="S3" s="133"/>
      <c r="AD3" s="112"/>
    </row>
    <row r="4" spans="1:30" ht="7.5" customHeight="1" x14ac:dyDescent="0.25">
      <c r="A4" s="112"/>
      <c r="B4" s="211"/>
      <c r="C4" s="212"/>
      <c r="D4" s="123"/>
      <c r="E4" s="124"/>
      <c r="F4" s="125"/>
      <c r="G4" s="124"/>
      <c r="H4" s="126"/>
      <c r="I4" s="124"/>
      <c r="J4" s="124"/>
      <c r="K4" s="124"/>
      <c r="L4" s="124"/>
      <c r="M4" s="124"/>
      <c r="N4" s="124"/>
      <c r="O4" s="127"/>
      <c r="P4" s="133"/>
      <c r="Q4" s="133"/>
      <c r="R4" s="133"/>
      <c r="S4" s="133"/>
      <c r="AD4" s="112"/>
    </row>
    <row r="5" spans="1:30" s="57" customFormat="1" ht="40.799999999999997" x14ac:dyDescent="0.5">
      <c r="A5" s="91"/>
      <c r="B5" s="211"/>
      <c r="C5" s="212"/>
      <c r="D5" s="139" t="s">
        <v>291</v>
      </c>
      <c r="E5" s="140" t="s">
        <v>98</v>
      </c>
      <c r="F5" s="141" t="s">
        <v>313</v>
      </c>
      <c r="G5" s="140" t="s">
        <v>101</v>
      </c>
      <c r="H5" s="140" t="s">
        <v>322</v>
      </c>
      <c r="I5" s="140" t="s">
        <v>100</v>
      </c>
      <c r="J5" s="140" t="s">
        <v>99</v>
      </c>
      <c r="K5" s="140" t="s">
        <v>102</v>
      </c>
      <c r="L5" s="140" t="s">
        <v>103</v>
      </c>
      <c r="M5" s="140" t="s">
        <v>4</v>
      </c>
      <c r="N5" s="140" t="s">
        <v>235</v>
      </c>
      <c r="O5" s="144" t="s">
        <v>292</v>
      </c>
      <c r="P5" s="91"/>
      <c r="Q5" s="91"/>
      <c r="R5" s="91"/>
      <c r="S5" s="91"/>
      <c r="T5" s="60" t="s">
        <v>75</v>
      </c>
      <c r="U5" s="107" t="s">
        <v>203</v>
      </c>
      <c r="W5" s="60"/>
      <c r="X5" s="108"/>
      <c r="AD5" s="91"/>
    </row>
    <row r="6" spans="1:30" s="57" customFormat="1" ht="26.4" thickBot="1" x14ac:dyDescent="0.55000000000000004">
      <c r="A6" s="91"/>
      <c r="B6" s="223"/>
      <c r="C6" s="121"/>
      <c r="D6" s="280">
        <v>200</v>
      </c>
      <c r="E6" s="281">
        <v>150</v>
      </c>
      <c r="F6" s="150">
        <f>IF(B35="l",1.75*D6*E6,D6*E6*G36)</f>
        <v>49200</v>
      </c>
      <c r="G6" s="282">
        <v>3000</v>
      </c>
      <c r="H6" s="142">
        <f>J6*5</f>
        <v>15</v>
      </c>
      <c r="I6" s="142">
        <f>1366/H6</f>
        <v>91.066666666666663</v>
      </c>
      <c r="J6" s="143">
        <f>G6/1000</f>
        <v>3</v>
      </c>
      <c r="K6" s="143">
        <f>J6*4</f>
        <v>12</v>
      </c>
      <c r="L6" s="227">
        <f>2520/K6</f>
        <v>210</v>
      </c>
      <c r="M6" s="143">
        <f>F6/G6</f>
        <v>16.399999999999999</v>
      </c>
      <c r="N6" s="283">
        <v>0</v>
      </c>
      <c r="O6" s="284">
        <v>0</v>
      </c>
      <c r="P6" s="91"/>
      <c r="Q6" s="91"/>
      <c r="R6" s="91"/>
      <c r="S6" s="91"/>
      <c r="T6" s="60" t="s">
        <v>76</v>
      </c>
      <c r="U6" s="107" t="s">
        <v>204</v>
      </c>
      <c r="W6" s="60"/>
      <c r="X6" s="108"/>
      <c r="AD6" s="91"/>
    </row>
    <row r="7" spans="1:30" s="11" customFormat="1" ht="15" customHeight="1" thickBot="1" x14ac:dyDescent="0.4">
      <c r="A7" s="116"/>
      <c r="B7" s="156"/>
      <c r="C7" s="214"/>
      <c r="D7" s="213"/>
      <c r="E7" s="213"/>
      <c r="F7" s="213"/>
      <c r="G7" s="213"/>
      <c r="H7" s="213"/>
      <c r="I7" s="213"/>
      <c r="J7" s="213"/>
      <c r="K7" s="213"/>
      <c r="L7" s="213"/>
      <c r="M7" s="213"/>
      <c r="N7" s="213"/>
      <c r="O7" s="208"/>
      <c r="P7" s="134"/>
      <c r="Q7" s="134"/>
      <c r="R7" s="134"/>
      <c r="S7" s="134"/>
      <c r="T7" s="60" t="s">
        <v>77</v>
      </c>
      <c r="U7" s="107" t="s">
        <v>205</v>
      </c>
      <c r="W7" s="60"/>
      <c r="X7" s="108"/>
      <c r="AD7" s="116"/>
    </row>
    <row r="8" spans="1:30" ht="61.2" x14ac:dyDescent="0.35">
      <c r="A8" s="112"/>
      <c r="B8" s="226" t="s">
        <v>237</v>
      </c>
      <c r="C8" s="140" t="s">
        <v>104</v>
      </c>
      <c r="D8" s="140" t="s">
        <v>105</v>
      </c>
      <c r="E8" s="140" t="s">
        <v>106</v>
      </c>
      <c r="F8" s="140" t="s">
        <v>107</v>
      </c>
      <c r="G8" s="140" t="s">
        <v>108</v>
      </c>
      <c r="H8" s="140" t="s">
        <v>109</v>
      </c>
      <c r="I8" s="140" t="s">
        <v>110</v>
      </c>
      <c r="J8" s="140" t="s">
        <v>111</v>
      </c>
      <c r="K8" s="140" t="s">
        <v>112</v>
      </c>
      <c r="L8" s="140" t="s">
        <v>138</v>
      </c>
      <c r="M8" s="144" t="s">
        <v>113</v>
      </c>
      <c r="N8" s="360"/>
      <c r="O8" s="361"/>
      <c r="P8" s="133"/>
      <c r="Q8" s="133"/>
      <c r="R8" s="133"/>
      <c r="S8" s="133"/>
      <c r="T8" s="60" t="s">
        <v>78</v>
      </c>
      <c r="U8" s="107" t="s">
        <v>206</v>
      </c>
      <c r="W8" s="60"/>
      <c r="X8" s="108"/>
      <c r="AD8" s="112"/>
    </row>
    <row r="9" spans="1:30" ht="16.5" customHeight="1" x14ac:dyDescent="0.35">
      <c r="A9" s="112"/>
      <c r="B9" s="157"/>
      <c r="C9" s="147">
        <f>'BASE DONNÉES'!G2</f>
        <v>1673.3200530681511</v>
      </c>
      <c r="D9" s="147">
        <f>C9*5</f>
        <v>8366.6002653407559</v>
      </c>
      <c r="E9" s="147">
        <f>'BASE DONNÉES'!H2*3</f>
        <v>8784.9302786077933</v>
      </c>
      <c r="F9" s="146">
        <f>C9/100</f>
        <v>16.733200530681511</v>
      </c>
      <c r="G9" s="146">
        <f>'BASE DONNÉES'!H2/100</f>
        <v>29.283100928692644</v>
      </c>
      <c r="H9" s="146">
        <f>'BASE DONNÉES'!H2/100</f>
        <v>29.283100928692644</v>
      </c>
      <c r="I9" s="146">
        <f>C9/100</f>
        <v>16.733200530681511</v>
      </c>
      <c r="J9" s="285">
        <v>7.34</v>
      </c>
      <c r="K9" s="286">
        <v>7.5</v>
      </c>
      <c r="L9" s="286">
        <v>3.6</v>
      </c>
      <c r="M9" s="145">
        <f>(48)/10.9545</f>
        <v>4.3817609201697936</v>
      </c>
      <c r="N9" s="362"/>
      <c r="O9" s="331"/>
      <c r="P9" s="133"/>
      <c r="Q9" s="133"/>
      <c r="R9" s="133"/>
      <c r="S9" s="133"/>
      <c r="T9" s="60" t="s">
        <v>223</v>
      </c>
      <c r="U9" s="107" t="s">
        <v>270</v>
      </c>
      <c r="W9" s="60"/>
      <c r="X9" s="108"/>
      <c r="AD9" s="112"/>
    </row>
    <row r="10" spans="1:30" s="58" customFormat="1" ht="15" customHeight="1" x14ac:dyDescent="0.35">
      <c r="A10" s="117"/>
      <c r="B10" s="158"/>
      <c r="C10" s="358"/>
      <c r="D10" s="359"/>
      <c r="E10" s="359"/>
      <c r="F10" s="359"/>
      <c r="G10" s="359"/>
      <c r="H10" s="359"/>
      <c r="I10" s="359"/>
      <c r="J10" s="359"/>
      <c r="K10" s="359"/>
      <c r="L10" s="359"/>
      <c r="M10" s="329"/>
      <c r="N10" s="362"/>
      <c r="O10" s="331"/>
      <c r="P10" s="135"/>
      <c r="Q10" s="135"/>
      <c r="R10" s="135"/>
      <c r="S10" s="135"/>
      <c r="T10" s="60" t="s">
        <v>288</v>
      </c>
      <c r="U10" s="252" t="s">
        <v>224</v>
      </c>
      <c r="AD10" s="117"/>
    </row>
    <row r="11" spans="1:30" s="60" customFormat="1" ht="40.799999999999997" x14ac:dyDescent="0.35">
      <c r="A11" s="118"/>
      <c r="B11" s="225" t="s">
        <v>236</v>
      </c>
      <c r="C11" s="140" t="s">
        <v>120</v>
      </c>
      <c r="D11" s="160" t="s">
        <v>114</v>
      </c>
      <c r="E11" s="140" t="s">
        <v>115</v>
      </c>
      <c r="F11" s="140" t="s">
        <v>118</v>
      </c>
      <c r="G11" s="140" t="s">
        <v>323</v>
      </c>
      <c r="H11" s="140" t="s">
        <v>324</v>
      </c>
      <c r="I11" s="140" t="s">
        <v>116</v>
      </c>
      <c r="J11" s="140" t="s">
        <v>117</v>
      </c>
      <c r="K11" s="140" t="s">
        <v>119</v>
      </c>
      <c r="L11" s="140" t="s">
        <v>12</v>
      </c>
      <c r="M11" s="144" t="s">
        <v>13</v>
      </c>
      <c r="N11" s="362"/>
      <c r="O11" s="331"/>
      <c r="P11" s="136"/>
      <c r="Q11" s="136"/>
      <c r="R11" s="136"/>
      <c r="S11" s="136"/>
      <c r="T11" s="60" t="s">
        <v>79</v>
      </c>
      <c r="U11" s="107" t="s">
        <v>207</v>
      </c>
      <c r="AD11" s="118"/>
    </row>
    <row r="12" spans="1:30" ht="18" x14ac:dyDescent="0.35">
      <c r="A12" s="112"/>
      <c r="B12" s="157"/>
      <c r="C12" s="287">
        <v>15</v>
      </c>
      <c r="D12" s="288">
        <v>3</v>
      </c>
      <c r="E12" s="285">
        <v>7.5</v>
      </c>
      <c r="F12" s="285">
        <v>10.5</v>
      </c>
      <c r="G12" s="285">
        <v>10.5</v>
      </c>
      <c r="H12" s="285">
        <v>5.25</v>
      </c>
      <c r="I12" s="285">
        <v>3.75</v>
      </c>
      <c r="J12" s="285">
        <v>5.25</v>
      </c>
      <c r="K12" s="285">
        <v>2</v>
      </c>
      <c r="L12" s="289">
        <v>113.99</v>
      </c>
      <c r="M12" s="290">
        <v>191.98</v>
      </c>
      <c r="N12" s="362"/>
      <c r="O12" s="331"/>
      <c r="P12" s="133"/>
      <c r="Q12" s="133"/>
      <c r="R12" s="133"/>
      <c r="S12" s="133"/>
      <c r="T12" s="60" t="s">
        <v>80</v>
      </c>
      <c r="U12" s="111" t="s">
        <v>212</v>
      </c>
      <c r="AD12" s="112"/>
    </row>
    <row r="13" spans="1:30" s="59" customFormat="1" ht="15" customHeight="1" x14ac:dyDescent="0.35">
      <c r="A13" s="119"/>
      <c r="B13" s="159"/>
      <c r="C13" s="356"/>
      <c r="D13" s="357"/>
      <c r="E13" s="357"/>
      <c r="F13" s="357"/>
      <c r="G13" s="357"/>
      <c r="H13" s="357"/>
      <c r="I13" s="357"/>
      <c r="J13" s="357"/>
      <c r="K13" s="357"/>
      <c r="L13" s="357"/>
      <c r="M13" s="331"/>
      <c r="N13" s="362"/>
      <c r="O13" s="331"/>
      <c r="P13" s="137"/>
      <c r="Q13" s="137"/>
      <c r="R13" s="137"/>
      <c r="S13" s="137"/>
      <c r="T13" s="60" t="s">
        <v>85</v>
      </c>
      <c r="U13" s="107" t="s">
        <v>208</v>
      </c>
      <c r="AD13" s="119"/>
    </row>
    <row r="14" spans="1:30" s="60" customFormat="1" ht="40.799999999999997" x14ac:dyDescent="0.35">
      <c r="A14" s="118"/>
      <c r="B14" s="225" t="s">
        <v>239</v>
      </c>
      <c r="C14" s="148" t="s">
        <v>14</v>
      </c>
      <c r="D14" s="148" t="s">
        <v>15</v>
      </c>
      <c r="E14" s="148" t="s">
        <v>16</v>
      </c>
      <c r="F14" s="140" t="s">
        <v>17</v>
      </c>
      <c r="G14" s="140" t="s">
        <v>122</v>
      </c>
      <c r="H14" s="140" t="s">
        <v>139</v>
      </c>
      <c r="I14" s="140" t="s">
        <v>123</v>
      </c>
      <c r="J14" s="140" t="s">
        <v>21</v>
      </c>
      <c r="K14" s="140" t="s">
        <v>121</v>
      </c>
      <c r="L14" s="140" t="s">
        <v>124</v>
      </c>
      <c r="M14" s="149"/>
      <c r="N14" s="362"/>
      <c r="O14" s="331"/>
      <c r="P14" s="136"/>
      <c r="Q14" s="136"/>
      <c r="R14" s="136"/>
      <c r="S14" s="136"/>
      <c r="T14" s="60" t="s">
        <v>87</v>
      </c>
      <c r="U14" s="107" t="s">
        <v>209</v>
      </c>
      <c r="AD14" s="118"/>
    </row>
    <row r="15" spans="1:30" ht="18.600000000000001" thickBot="1" x14ac:dyDescent="0.4">
      <c r="A15" s="112"/>
      <c r="B15" s="157"/>
      <c r="C15" s="291">
        <v>53.99</v>
      </c>
      <c r="D15" s="292">
        <v>11.99</v>
      </c>
      <c r="E15" s="292">
        <v>122.99</v>
      </c>
      <c r="F15" s="292">
        <v>23.99</v>
      </c>
      <c r="G15" s="292">
        <v>11.99</v>
      </c>
      <c r="H15" s="292">
        <v>16.29</v>
      </c>
      <c r="I15" s="292">
        <v>22.98</v>
      </c>
      <c r="J15" s="292">
        <v>12.99</v>
      </c>
      <c r="K15" s="292">
        <v>4.5</v>
      </c>
      <c r="L15" s="292">
        <v>113.99</v>
      </c>
      <c r="M15" s="138"/>
      <c r="N15" s="363"/>
      <c r="O15" s="364"/>
      <c r="P15" s="133"/>
      <c r="Q15" s="133"/>
      <c r="R15" s="133"/>
      <c r="S15" s="133"/>
      <c r="T15" s="60" t="s">
        <v>223</v>
      </c>
      <c r="U15" s="107" t="s">
        <v>224</v>
      </c>
      <c r="AD15" s="112"/>
    </row>
    <row r="16" spans="1:30" ht="15.75" customHeight="1" x14ac:dyDescent="0.35">
      <c r="A16" s="112"/>
      <c r="B16" s="153"/>
      <c r="C16" s="215"/>
      <c r="D16" s="353"/>
      <c r="E16" s="353"/>
      <c r="F16" s="353"/>
      <c r="G16" s="353"/>
      <c r="H16" s="353"/>
      <c r="I16" s="353"/>
      <c r="J16" s="353"/>
      <c r="K16" s="353"/>
      <c r="L16" s="353"/>
      <c r="M16" s="354" t="s">
        <v>357</v>
      </c>
      <c r="N16" s="355"/>
      <c r="O16" s="355"/>
      <c r="P16" s="133"/>
      <c r="Q16" s="133"/>
      <c r="R16" s="133"/>
      <c r="S16" s="133"/>
      <c r="AD16" s="112"/>
    </row>
    <row r="17" spans="1:30" ht="15.75" customHeight="1" thickBot="1" x14ac:dyDescent="0.4">
      <c r="A17" s="112"/>
      <c r="B17" s="228" t="s">
        <v>233</v>
      </c>
      <c r="C17" s="112"/>
      <c r="D17" s="224"/>
      <c r="E17" s="224"/>
      <c r="F17" s="224"/>
      <c r="G17" s="224"/>
      <c r="H17" s="224"/>
      <c r="I17" s="224"/>
      <c r="J17" s="224"/>
      <c r="K17" s="224"/>
      <c r="L17" s="224"/>
      <c r="M17" s="224"/>
      <c r="N17" s="224"/>
      <c r="O17" s="224"/>
      <c r="P17" s="133"/>
      <c r="Q17" s="133"/>
      <c r="R17" s="133"/>
      <c r="S17" s="133"/>
      <c r="AD17" s="112"/>
    </row>
    <row r="18" spans="1:30" ht="18.75" x14ac:dyDescent="0.3">
      <c r="A18" s="112"/>
      <c r="B18" s="318" t="s">
        <v>228</v>
      </c>
      <c r="C18" s="319"/>
      <c r="D18" s="318" t="s">
        <v>229</v>
      </c>
      <c r="E18" s="352"/>
      <c r="F18" s="319"/>
      <c r="G18" s="318" t="s">
        <v>230</v>
      </c>
      <c r="H18" s="352"/>
      <c r="I18" s="319"/>
      <c r="J18" s="318" t="s">
        <v>231</v>
      </c>
      <c r="K18" s="352"/>
      <c r="L18" s="319"/>
      <c r="M18" s="318" t="s">
        <v>232</v>
      </c>
      <c r="N18" s="352"/>
      <c r="O18" s="319"/>
      <c r="P18" s="133"/>
      <c r="Q18" s="133"/>
      <c r="R18" s="133"/>
      <c r="S18" s="133"/>
      <c r="AD18" s="112"/>
    </row>
    <row r="19" spans="1:30" ht="13.5" customHeight="1" x14ac:dyDescent="0.3">
      <c r="A19" s="112"/>
      <c r="B19" s="320" t="s">
        <v>210</v>
      </c>
      <c r="C19" s="321"/>
      <c r="D19" s="343" t="s">
        <v>210</v>
      </c>
      <c r="E19" s="330"/>
      <c r="F19" s="331"/>
      <c r="G19" s="343" t="s">
        <v>210</v>
      </c>
      <c r="H19" s="328"/>
      <c r="I19" s="329"/>
      <c r="J19" s="343" t="s">
        <v>210</v>
      </c>
      <c r="K19" s="328"/>
      <c r="L19" s="329"/>
      <c r="M19" s="343" t="s">
        <v>210</v>
      </c>
      <c r="N19" s="330"/>
      <c r="O19" s="331"/>
      <c r="P19" s="133"/>
      <c r="Q19" s="133"/>
      <c r="R19" s="133"/>
      <c r="S19" s="133"/>
      <c r="AD19" s="112"/>
    </row>
    <row r="20" spans="1:30" ht="15.75" customHeight="1" x14ac:dyDescent="0.35">
      <c r="A20" s="112"/>
      <c r="B20" s="314" t="s">
        <v>75</v>
      </c>
      <c r="C20" s="315"/>
      <c r="D20" s="314" t="s">
        <v>76</v>
      </c>
      <c r="E20" s="346"/>
      <c r="F20" s="347"/>
      <c r="G20" s="314" t="s">
        <v>77</v>
      </c>
      <c r="H20" s="332"/>
      <c r="I20" s="333"/>
      <c r="J20" s="314" t="s">
        <v>78</v>
      </c>
      <c r="K20" s="332"/>
      <c r="L20" s="333"/>
      <c r="M20" s="314" t="s">
        <v>223</v>
      </c>
      <c r="N20" s="346"/>
      <c r="O20" s="347"/>
      <c r="P20" s="133"/>
      <c r="Q20" s="133"/>
      <c r="R20" s="133"/>
      <c r="S20" s="133"/>
      <c r="T20" t="s">
        <v>213</v>
      </c>
      <c r="V20" t="s">
        <v>214</v>
      </c>
      <c r="X20" t="s">
        <v>215</v>
      </c>
      <c r="Z20" t="s">
        <v>216</v>
      </c>
      <c r="AB20" t="s">
        <v>218</v>
      </c>
      <c r="AD20" s="112"/>
    </row>
    <row r="21" spans="1:30" ht="15.75" customHeight="1" x14ac:dyDescent="0.3">
      <c r="A21" s="112"/>
      <c r="B21" s="316" t="str">
        <f>IF(B20="A","Clôture périphérie 5 broches, piquets de bois",IF(B20="B","Clôture périphérie 5 broches, piquets fibre de verre",IF(B20="C","Clôture périphérie broche carrelée, piquets bois",IF(B20="D","Clôture périphérie broche carrelée, piquets fibre de verre",IF(B20="I","Clôture périphérie grillage à moutons, haute résistance ",IF(B20="J","Aucun choix","Erreur"))))))</f>
        <v>Clôture périphérie 5 broches, piquets de bois</v>
      </c>
      <c r="C21" s="322"/>
      <c r="D21" s="254"/>
      <c r="E21" s="253" t="str">
        <f>IF(D20="A","Clôture périphérie 5 broches, piquets de bois",IF(D20="B","Clôture périphérie 5 broches, piquets fibre de verre",IF(D20="C","Clôture périphérie broche carrelée, piquets bois",IF(D20="D","Clôture périphérie broche carrelée, piquets fibre de verre",IF(D20="I","Clôture périphérie grillage à moutons, haute résistance ",IF(D20="J","Aucun choix","Erreur"))))))</f>
        <v>Clôture périphérie 5 broches, piquets fibre de verre</v>
      </c>
      <c r="F21" s="236"/>
      <c r="G21" s="255"/>
      <c r="H21" s="253" t="str">
        <f>IF(G20="A","Clôture périphérie 5 broches, piquets de bois",IF(G20="B","Clôture périphérie 5 broches, piquets fibre de verre",IF(G20="C","Clôture périphérie broche carrelée, piquets bois",IF(G20="D","Clôture périphérie broche carrelée, piquets fibre de verre",IF(G20="I","Clôture périphérie grillage à moutons, haute résistance ",IF(G20="J","Aucun choix","Erreur"))))))</f>
        <v>Clôture périphérie broche carrelée, piquets bois</v>
      </c>
      <c r="I21" s="236"/>
      <c r="J21" s="255"/>
      <c r="K21" s="253" t="str">
        <f>IF(J20="A","Clôture périphérie 5 broches, piquets de bois",IF(J20="B","Clôture périphérie 5 broches, piquets fibre de verre",IF(J20="C","Clôture périphérie broche carrelée, piquets bois",IF(J20="D","Clôture périphérie broche carrelée, piquets fibre de verre",IF(J20="I","Clôture périphérie grillage à moutons, haute résistance ",IF(J20="J","Aucun choix","Erreur"))))))</f>
        <v>Clôture périphérie broche carrelée, piquets fibre de verre</v>
      </c>
      <c r="L21" s="236"/>
      <c r="M21" s="255"/>
      <c r="N21" s="253" t="str">
        <f>IF(M20="A","Clôture périphérie 5 broches, piquets de bois",IF(M20="B","Clôture périphérie 5 broches, piquets fibre de verre",IF(M20="C","Clôture périphérie broche carrelée, piquets bois",IF(M20="D","Clôture périphérie broche carrelée, piquets fibre de verre",IF(M20="I","Clôture périphérie grillage à moutons, haute résistance ",IF(M20="J","Aucun choix","Erreur"))))))</f>
        <v xml:space="preserve">Clôture périphérie grillage à moutons, haute résistance </v>
      </c>
      <c r="O21" s="236"/>
      <c r="P21" s="133"/>
      <c r="Q21" s="133"/>
      <c r="R21" s="133"/>
      <c r="S21" s="133"/>
      <c r="AD21" s="112"/>
    </row>
    <row r="22" spans="1:30" ht="15.6" x14ac:dyDescent="0.3">
      <c r="A22" s="112"/>
      <c r="B22" s="323" t="s">
        <v>211</v>
      </c>
      <c r="C22" s="324"/>
      <c r="D22" s="323" t="s">
        <v>211</v>
      </c>
      <c r="E22" s="330"/>
      <c r="F22" s="331"/>
      <c r="G22" s="323" t="s">
        <v>211</v>
      </c>
      <c r="H22" s="328"/>
      <c r="I22" s="329"/>
      <c r="J22" s="323" t="s">
        <v>211</v>
      </c>
      <c r="K22" s="328"/>
      <c r="L22" s="329"/>
      <c r="M22" s="323" t="s">
        <v>211</v>
      </c>
      <c r="N22" s="330"/>
      <c r="O22" s="331"/>
      <c r="P22" s="133"/>
      <c r="Q22" s="133"/>
      <c r="R22" s="133"/>
      <c r="S22" s="133"/>
      <c r="AD22" s="112"/>
    </row>
    <row r="23" spans="1:30" ht="15.75" customHeight="1" x14ac:dyDescent="0.35">
      <c r="A23" s="112"/>
      <c r="B23" s="314" t="s">
        <v>79</v>
      </c>
      <c r="C23" s="315"/>
      <c r="D23" s="314" t="s">
        <v>80</v>
      </c>
      <c r="E23" s="350"/>
      <c r="F23" s="351"/>
      <c r="G23" s="314" t="s">
        <v>85</v>
      </c>
      <c r="H23" s="332"/>
      <c r="I23" s="333"/>
      <c r="J23" s="314" t="s">
        <v>87</v>
      </c>
      <c r="K23" s="332"/>
      <c r="L23" s="333"/>
      <c r="M23" s="314" t="s">
        <v>87</v>
      </c>
      <c r="N23" s="346"/>
      <c r="O23" s="347"/>
      <c r="P23" s="133"/>
      <c r="Q23" s="133"/>
      <c r="R23" s="133"/>
      <c r="S23" s="133"/>
      <c r="T23" s="109">
        <f>IF(B20="A",'OPTIONS POSSIBLES AR'!BL2,IF(B20="B",'OPTIONS POSSIBLES AR'!BL3,IF(B20="C",'OPTIONS POSSIBLES AR'!BL6,IF(B20="D",'OPTIONS POSSIBLES AR'!BL7,IF(B20="I",'OPTIONS POSSIBLES AR'!BL10)))))</f>
        <v>4314.329999999999</v>
      </c>
      <c r="U23" s="109">
        <f>IF(B20="A",'OPTIONS POSSIBLES AR'!BO2,IF(B20="B",'OPTIONS POSSIBLES AR'!BO3,IF(B20="C",'OPTIONS POSSIBLES AR'!BO6,IF(B20="D",'OPTIONS POSSIBLES AR'!BO7,IF(B20="I",'OPTIONS POSSIBLES AR'!BO10)))))</f>
        <v>30</v>
      </c>
      <c r="V23" s="109">
        <f>IF(D20="A",'OPTIONS POSSIBLES AR'!BL2,IF(D20="B",'OPTIONS POSSIBLES AR'!BL3,IF(D20="C",'OPTIONS POSSIBLES AR'!BL6,IF(D20="D",'OPTIONS POSSIBLES AR'!BL7,IF(D20="I",'OPTIONS POSSIBLES AR'!BL10)))))</f>
        <v>5299.0399999999991</v>
      </c>
      <c r="W23" s="109">
        <f>IF(D20="A",'OPTIONS POSSIBLES AR'!BO2,IF(D20="B",'OPTIONS POSSIBLES AR'!BO3,IF(D20="C",'OPTIONS POSSIBLES AR'!BO6,IF(D20="D",'OPTIONS POSSIBLES AR'!BO7,IF(D20="I",'OPTIONS POSSIBLES AR'!BO10)))))</f>
        <v>15</v>
      </c>
      <c r="X23" s="109">
        <f>IF(G20="A",'OPTIONS POSSIBLES AR'!BL2,IF(G20="B",'OPTIONS POSSIBLES AR'!BL3,IF(G20="C",'OPTIONS POSSIBLES AR'!BL6,IF(G20="D",'OPTIONS POSSIBLES AR'!BL7,IF(G20="I",'OPTIONS POSSIBLES AR'!BL10)))))</f>
        <v>7141.46</v>
      </c>
      <c r="Y23" s="109">
        <f>IF(G20="A",'OPTIONS POSSIBLES AR'!BO2,IF(G20="B",'OPTIONS POSSIBLES AR'!BO3,IF(G20="C",'OPTIONS POSSIBLES AR'!BO6,IF(G20="D",'OPTIONS POSSIBLES AR'!BO7,IF(G20="I",'OPTIONS POSSIBLES AR'!BO10)))))</f>
        <v>52.5</v>
      </c>
      <c r="Z23" s="109">
        <f>IF(J20="A",'OPTIONS POSSIBLES AR'!BL2,IF(J20="B",'OPTIONS POSSIBLES AR'!BL3,IF(J20="C",'OPTIONS POSSIBLES AR'!BL6,IF(J20="D",'OPTIONS POSSIBLES AR'!BL7,IF(J20="I",'OPTIONS POSSIBLES AR'!BL10)))))</f>
        <v>10625.369999999999</v>
      </c>
      <c r="AA23" s="109">
        <f>IF(J20="A",'OPTIONS POSSIBLES AR'!BO2,IF(J20="B",'OPTIONS POSSIBLES AR'!BO3,IF(J20="C",'OPTIONS POSSIBLES AR'!BO6,IF(J20="D",'OPTIONS POSSIBLES AR'!BO7,IF(J20="I",'OPTIONS POSSIBLES AR'!BO10)))))</f>
        <v>37.5</v>
      </c>
      <c r="AB23" s="109">
        <f>IF(M20="A",'OPTIONS POSSIBLES AR'!BL2,IF(M20="B",'OPTIONS POSSIBLES AR'!BL3,IF(M20="C",'OPTIONS POSSIBLES AR'!BL6,IF(M20="D",'OPTIONS POSSIBLES AR'!BL7,IF(M20="I",'OPTIONS POSSIBLES AR'!BL10)))))</f>
        <v>12977.831009286927</v>
      </c>
      <c r="AC23" s="109">
        <f>IF(M20="A",'OPTIONS POSSIBLES AR'!BO2,IF(M20="B",'OPTIONS POSSIBLES AR'!BO3,IF(M20="C",'OPTIONS POSSIBLES AR'!BO6,IF(M20="D",'OPTIONS POSSIBLES AR'!BO7,IF(M20="I",'OPTIONS POSSIBLES AR'!BO10)))))</f>
        <v>52.5</v>
      </c>
      <c r="AD23" s="112"/>
    </row>
    <row r="24" spans="1:30" ht="15.75" customHeight="1" x14ac:dyDescent="0.3">
      <c r="A24" s="112"/>
      <c r="B24" s="316" t="str">
        <f>IF(B23="E","Clôture divisions 3 broches, piquets de bois",IF(B23="F","Clôture divisions 3 broches, piquets fibre de verre",IF(B23="G","Clôture divisions broche carrelée, piquets bois",IF(B23="H","Clôture divisions broche carrelée, piquets fibre de verre",IF(B23="I","Aucun choix","Erreur")))))</f>
        <v>Clôture divisions 3 broches, piquets de bois</v>
      </c>
      <c r="C24" s="317"/>
      <c r="D24" s="325" t="str">
        <f>IF(D23="E","Clôture divisions 3 broches, piquets de bois",IF(D23="F","Clôture divisions 3 broches, piquets fibre de verre",IF(D23="G","Clôture divisions broche carrelée, piquets bois",IF(D23="H","Clôture divisions broche carrelée, piquets fibre de verre",IF(D23="I","Aucun choix","Erreur")))))</f>
        <v>Clôture divisions 3 broches, piquets fibre de verre</v>
      </c>
      <c r="E24" s="326"/>
      <c r="F24" s="327"/>
      <c r="G24" s="325" t="str">
        <f>IF(G23="E","Clôture divisions 3 broches, piquets de bois",IF(G23="F","Clôture divisions 3 broches, piquets fibre de verre",IF(G23="G","Clôture divisions broche carrelée, piquets bois",IF(G23="H","Clôture divisions broche carrelée, piquets fibre de verre",IF(G23="I","Aucun choix","Erreur")))))</f>
        <v>Clôture divisions broche carrelée, piquets bois</v>
      </c>
      <c r="H24" s="326"/>
      <c r="I24" s="327"/>
      <c r="J24" s="325" t="str">
        <f>IF(J23="E","Clôture divisions 3 broches, piquets de bois",IF(J23="F","Clôture divisions 3 broches, piquets fibre de verre",IF(J23="G","Clôture divisions broche carrelée, piquets bois",IF(J23="H","Clôture divisions broche carrelée, piquets fibre de verre",IF(J23="I","Aucun choix","Erreur")))))</f>
        <v>Clôture divisions broche carrelée, piquets fibre de verre</v>
      </c>
      <c r="K24" s="326"/>
      <c r="L24" s="327"/>
      <c r="M24" s="325" t="str">
        <f>IF(M23="E","Clôture divisions 3 broches, piquets de bois",IF(M23="F","Clôture divisions 3 broches, piquets fibre de verre",IF(M23="G","Clôture divisions broche carrelée, piquets bois",IF(M23="H","Clôture divisions broche carrelée, piquets fibre de verre",IF(M23="I","Aucun choix","Erreur")))))</f>
        <v>Clôture divisions broche carrelée, piquets fibre de verre</v>
      </c>
      <c r="N24" s="326"/>
      <c r="O24" s="327"/>
      <c r="P24" s="133"/>
      <c r="Q24" s="133"/>
      <c r="R24" s="133"/>
      <c r="S24" s="133"/>
      <c r="T24" s="109"/>
      <c r="U24" s="109"/>
      <c r="V24" s="109"/>
      <c r="W24" s="109"/>
      <c r="X24" s="109"/>
      <c r="Y24" s="109"/>
      <c r="Z24" s="109"/>
      <c r="AA24" s="109"/>
      <c r="AB24" s="109"/>
      <c r="AC24" s="109"/>
      <c r="AD24" s="112"/>
    </row>
    <row r="25" spans="1:30" ht="15.6" x14ac:dyDescent="0.3">
      <c r="A25" s="112"/>
      <c r="B25" s="310" t="s">
        <v>351</v>
      </c>
      <c r="C25" s="311"/>
      <c r="D25" s="310" t="s">
        <v>351</v>
      </c>
      <c r="E25" s="338"/>
      <c r="F25" s="339"/>
      <c r="G25" s="310" t="s">
        <v>351</v>
      </c>
      <c r="H25" s="344"/>
      <c r="I25" s="345"/>
      <c r="J25" s="310" t="s">
        <v>351</v>
      </c>
      <c r="K25" s="344"/>
      <c r="L25" s="345"/>
      <c r="M25" s="310" t="s">
        <v>351</v>
      </c>
      <c r="N25" s="338"/>
      <c r="O25" s="339"/>
      <c r="P25" s="133"/>
      <c r="Q25" s="133"/>
      <c r="R25" s="133"/>
      <c r="S25" s="133"/>
      <c r="T25" s="110"/>
      <c r="U25" s="110"/>
      <c r="V25" s="110"/>
      <c r="W25" s="110"/>
      <c r="X25" s="110"/>
      <c r="Y25" s="110"/>
      <c r="Z25" s="110"/>
      <c r="AA25" s="110"/>
      <c r="AB25" s="110"/>
      <c r="AC25" s="110"/>
      <c r="AD25" s="112"/>
    </row>
    <row r="26" spans="1:30" ht="19.8" x14ac:dyDescent="0.5">
      <c r="A26" s="112"/>
      <c r="B26" s="308">
        <f>IF(B30="Mauvaise saisie","Recommencez",CALCULS!F61)</f>
        <v>17398.397363356165</v>
      </c>
      <c r="C26" s="309"/>
      <c r="D26" s="308">
        <f>IF(D30="Mauvaise saisie","Recommencez",CALCULS!H61)</f>
        <v>17398.397363356165</v>
      </c>
      <c r="E26" s="334"/>
      <c r="F26" s="335"/>
      <c r="G26" s="308">
        <f>IF(G30="Mauvaise saisie","Recommencez",CALCULS!J61)</f>
        <v>17398.397363356165</v>
      </c>
      <c r="H26" s="336"/>
      <c r="I26" s="337"/>
      <c r="J26" s="308">
        <f>IF(J30="Mauvaise saisie","Recommencez",CALCULS!L61)</f>
        <v>17398.397363356165</v>
      </c>
      <c r="K26" s="336"/>
      <c r="L26" s="337"/>
      <c r="M26" s="308">
        <f>IF(M30="Mauvaise saisie","Recommencez",CALCULS!N61)</f>
        <v>17398.397363356165</v>
      </c>
      <c r="N26" s="334"/>
      <c r="O26" s="335"/>
      <c r="P26" s="133"/>
      <c r="Q26" s="133"/>
      <c r="R26" s="133"/>
      <c r="S26" s="133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2"/>
    </row>
    <row r="27" spans="1:30" ht="15.6" x14ac:dyDescent="0.3">
      <c r="A27" s="112"/>
      <c r="B27" s="310" t="s">
        <v>222</v>
      </c>
      <c r="C27" s="311"/>
      <c r="D27" s="310" t="s">
        <v>222</v>
      </c>
      <c r="E27" s="340"/>
      <c r="F27" s="311"/>
      <c r="G27" s="310" t="s">
        <v>222</v>
      </c>
      <c r="H27" s="340"/>
      <c r="I27" s="311"/>
      <c r="J27" s="310" t="s">
        <v>222</v>
      </c>
      <c r="K27" s="340"/>
      <c r="L27" s="311"/>
      <c r="M27" s="310" t="s">
        <v>222</v>
      </c>
      <c r="N27" s="340"/>
      <c r="O27" s="311"/>
      <c r="P27" s="133"/>
      <c r="Q27" s="133"/>
      <c r="R27" s="133"/>
      <c r="S27" s="133"/>
      <c r="T27" s="110"/>
      <c r="U27" s="110"/>
      <c r="V27" s="110"/>
      <c r="W27" s="110"/>
      <c r="X27" s="110"/>
      <c r="Y27" s="110"/>
      <c r="Z27" s="110"/>
      <c r="AA27" s="110"/>
      <c r="AB27" s="110"/>
      <c r="AC27" s="110"/>
      <c r="AD27" s="112"/>
    </row>
    <row r="28" spans="1:30" ht="19.8" x14ac:dyDescent="0.5">
      <c r="A28" s="112"/>
      <c r="B28" s="308">
        <f>IF(B30="Mauvaise saisie","vos choix!",CALCULS!G61)</f>
        <v>7716.3470000000007</v>
      </c>
      <c r="C28" s="309"/>
      <c r="D28" s="308">
        <f>IF(D30="Mauvaise saisie","vos choix!",CALCULS!I61)</f>
        <v>7714.4854000000005</v>
      </c>
      <c r="E28" s="334"/>
      <c r="F28" s="335"/>
      <c r="G28" s="308">
        <f>IF(G30="Mauvaise saisie","vos choix!",CALCULS!K61)</f>
        <v>7815.9334000000008</v>
      </c>
      <c r="H28" s="336"/>
      <c r="I28" s="337"/>
      <c r="J28" s="308">
        <f>IF(J30="Mauvaise saisie","vos choix!",CALCULS!M61)</f>
        <v>7953.4148000000005</v>
      </c>
      <c r="K28" s="336"/>
      <c r="L28" s="337"/>
      <c r="M28" s="308">
        <f>IF(M30="Mauvaise saisie","vos choix!",CALCULS!O61)</f>
        <v>8062.5132403714779</v>
      </c>
      <c r="N28" s="334"/>
      <c r="O28" s="335"/>
      <c r="P28" s="133"/>
      <c r="Q28" s="133"/>
      <c r="R28" s="133"/>
      <c r="S28" s="133"/>
      <c r="T28" s="110"/>
      <c r="U28" s="110"/>
      <c r="V28" s="110"/>
      <c r="W28" s="110"/>
      <c r="X28" s="110"/>
      <c r="Y28" s="110"/>
      <c r="Z28" s="110"/>
      <c r="AA28" s="110"/>
      <c r="AB28" s="110"/>
      <c r="AC28" s="110"/>
      <c r="AD28" s="112"/>
    </row>
    <row r="29" spans="1:30" ht="15.6" x14ac:dyDescent="0.3">
      <c r="A29" s="112"/>
      <c r="B29" s="310" t="s">
        <v>336</v>
      </c>
      <c r="C29" s="311"/>
      <c r="D29" s="310" t="s">
        <v>336</v>
      </c>
      <c r="E29" s="338"/>
      <c r="F29" s="339"/>
      <c r="G29" s="310" t="s">
        <v>336</v>
      </c>
      <c r="H29" s="338"/>
      <c r="I29" s="339"/>
      <c r="J29" s="310" t="s">
        <v>336</v>
      </c>
      <c r="K29" s="338"/>
      <c r="L29" s="339"/>
      <c r="M29" s="310" t="s">
        <v>336</v>
      </c>
      <c r="N29" s="338"/>
      <c r="O29" s="339"/>
      <c r="P29" s="133"/>
      <c r="Q29" s="133"/>
      <c r="R29" s="133"/>
      <c r="S29" s="133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2"/>
    </row>
    <row r="30" spans="1:30" ht="21.6" thickBot="1" x14ac:dyDescent="0.4">
      <c r="A30" s="112"/>
      <c r="B30" s="312">
        <f>CALCULS!G63</f>
        <v>48.410251816780821</v>
      </c>
      <c r="C30" s="313"/>
      <c r="D30" s="312">
        <f>CALCULS!I63</f>
        <v>48.419559816780819</v>
      </c>
      <c r="E30" s="341"/>
      <c r="F30" s="342"/>
      <c r="G30" s="312">
        <f>CALCULS!K63</f>
        <v>47.912319816780816</v>
      </c>
      <c r="H30" s="348"/>
      <c r="I30" s="349"/>
      <c r="J30" s="312">
        <f>CALCULS!M63</f>
        <v>47.224912816780822</v>
      </c>
      <c r="K30" s="348"/>
      <c r="L30" s="349"/>
      <c r="M30" s="312">
        <f xml:space="preserve"> CALCULS!O63</f>
        <v>46.679420614923437</v>
      </c>
      <c r="N30" s="341"/>
      <c r="O30" s="342"/>
      <c r="P30" s="133"/>
      <c r="Q30" s="133"/>
      <c r="R30" s="133"/>
      <c r="S30" s="133"/>
      <c r="T30" s="109">
        <f>IF(B23="E",'OPTIONS POSSIBLES AR'!BL4,IF(B23="F",'OPTIONS POSSIBLES AR'!BL5,IF(B23="G",'OPTIONS POSSIBLES AR'!BL8,IF(B23="H",'OPTIONS POSSIBLES AR'!BL9))))</f>
        <v>8116.7599999999993</v>
      </c>
      <c r="U30" s="109">
        <f>IF(B23="E",'OPTIONS POSSIBLES AR'!BO4,IF(B23="F",'OPTIONS POSSIBLES AR'!BO5,IF(B23="G",'OPTIONS POSSIBLES AR'!BO8,IF(B23="H",'OPTIONS POSSIBLES AR'!BO9))))</f>
        <v>52.5</v>
      </c>
      <c r="V30" s="109">
        <f>IF(D23="E",'OPTIONS POSSIBLES AR'!BL4,IF(D23="F",'OPTIONS POSSIBLES AR'!BL5,IF(D23="G",'OPTIONS POSSIBLES AR'!BL8,IF(D23="H",'OPTIONS POSSIBLES AR'!BL9))))</f>
        <v>8898.8099999999977</v>
      </c>
      <c r="W30" s="109">
        <f>IF(D23="E",'OPTIONS POSSIBLES AR'!BO4,IF(D23="F",'OPTIONS POSSIBLES AR'!BO5,IF(D23="G",'OPTIONS POSSIBLES AR'!BO8,IF(D23="H",'OPTIONS POSSIBLES AR'!BO9))))</f>
        <v>26.25</v>
      </c>
      <c r="X30" s="109">
        <f>IF(G23="E",'OPTIONS POSSIBLES AR'!BL4,IF(G23="F",'OPTIONS POSSIBLES AR'!BL5,IF(G23="G",'OPTIONS POSSIBLES AR'!BL8,IF(G23="H",'OPTIONS POSSIBLES AR'!BL9))))</f>
        <v>12529.56</v>
      </c>
      <c r="Y30" s="109">
        <f>IF(G23="E",'OPTIONS POSSIBLES AR'!BO4,IF(G23="F",'OPTIONS POSSIBLES AR'!BO5,IF(G23="G",'OPTIONS POSSIBLES AR'!BO8,IF(G23="H",'OPTIONS POSSIBLES AR'!BO9))))</f>
        <v>52.5</v>
      </c>
      <c r="Z30" s="109">
        <f>IF(J23="E",'OPTIONS POSSIBLES AR'!BL4,IF(J23="F",'OPTIONS POSSIBLES AR'!BL5,IF(J23="G",'OPTIONS POSSIBLES AR'!BL8,IF(J23="H",'OPTIONS POSSIBLES AR'!BL9))))</f>
        <v>18622.04</v>
      </c>
      <c r="AA30" s="109">
        <f>IF(J23="E",'OPTIONS POSSIBLES AR'!BO4,IF(J23="F",'OPTIONS POSSIBLES AR'!BO5,IF(J23="G",'OPTIONS POSSIBLES AR'!BO8,IF(J23="H",'OPTIONS POSSIBLES AR'!BO9))))</f>
        <v>65.625</v>
      </c>
      <c r="AB30" s="109">
        <f>IF(M23="E",'OPTIONS POSSIBLES AR'!BL4,IF(M23="F",'OPTIONS POSSIBLES AR'!BL5,IF(M23="G",'OPTIONS POSSIBLES AR'!BL8,IF(M23="H",'OPTIONS POSSIBLES AR'!BL9))))</f>
        <v>18622.04</v>
      </c>
      <c r="AC30" s="109">
        <f>IF(M23="E",'OPTIONS POSSIBLES AR'!BO4,IF(M23="F",'OPTIONS POSSIBLES AR'!BO5,IF(M23="G",'OPTIONS POSSIBLES AR'!BO8,IF(M23="H",'OPTIONS POSSIBLES AR'!BO9))))</f>
        <v>65.625</v>
      </c>
      <c r="AD30" s="112"/>
    </row>
    <row r="31" spans="1:30" ht="17.25" customHeight="1" x14ac:dyDescent="0.3">
      <c r="A31" s="112"/>
      <c r="B31" s="215"/>
      <c r="C31" s="215"/>
      <c r="D31" s="216"/>
      <c r="E31" s="215"/>
      <c r="F31" s="217"/>
      <c r="G31" s="218"/>
      <c r="H31" s="215"/>
      <c r="I31" s="218"/>
      <c r="J31" s="218"/>
      <c r="K31" s="215"/>
      <c r="L31" s="218"/>
      <c r="M31" s="218"/>
      <c r="N31" s="215"/>
      <c r="O31" s="215"/>
      <c r="P31" s="133"/>
      <c r="Q31" s="133"/>
      <c r="R31" s="133"/>
      <c r="S31" s="133"/>
      <c r="AD31" s="112"/>
    </row>
    <row r="32" spans="1:30" ht="19.5" customHeight="1" thickBot="1" x14ac:dyDescent="0.4">
      <c r="A32" s="112"/>
      <c r="B32" s="154" t="s">
        <v>263</v>
      </c>
      <c r="C32" s="112"/>
      <c r="D32" s="113"/>
      <c r="E32" s="114"/>
      <c r="F32" s="163"/>
      <c r="G32" s="114"/>
      <c r="H32" s="112"/>
      <c r="J32" s="115"/>
      <c r="K32" s="114"/>
      <c r="L32" s="114"/>
      <c r="M32" s="114"/>
      <c r="N32" s="114"/>
      <c r="O32" s="112"/>
      <c r="P32" s="133"/>
      <c r="Q32" s="133"/>
      <c r="R32" s="133"/>
      <c r="S32" s="133"/>
      <c r="AD32" s="112"/>
    </row>
    <row r="33" spans="1:30" ht="16.5" customHeight="1" x14ac:dyDescent="0.3">
      <c r="A33" s="112"/>
      <c r="B33" s="304" t="s">
        <v>261</v>
      </c>
      <c r="C33" s="305"/>
      <c r="D33" s="164" t="s">
        <v>247</v>
      </c>
      <c r="E33" s="165" t="s">
        <v>248</v>
      </c>
      <c r="F33" s="165" t="s">
        <v>293</v>
      </c>
      <c r="G33" s="166" t="s">
        <v>252</v>
      </c>
      <c r="H33" s="114"/>
      <c r="I33" s="114"/>
      <c r="J33" s="114"/>
      <c r="K33" s="114"/>
      <c r="L33" s="114"/>
      <c r="M33" s="114"/>
      <c r="N33" s="112"/>
      <c r="O33" s="133"/>
      <c r="P33" s="133"/>
      <c r="Q33" s="133"/>
      <c r="R33" s="133"/>
      <c r="S33" s="112"/>
      <c r="Y33" s="3" t="s">
        <v>341</v>
      </c>
      <c r="Z33" s="3" t="s">
        <v>353</v>
      </c>
      <c r="AA33" s="3" t="s">
        <v>355</v>
      </c>
      <c r="AB33" s="3" t="s">
        <v>354</v>
      </c>
      <c r="AC33" s="112"/>
      <c r="AD33" s="112"/>
    </row>
    <row r="34" spans="1:30" ht="12.75" customHeight="1" x14ac:dyDescent="0.3">
      <c r="A34" s="112"/>
      <c r="B34" s="302"/>
      <c r="C34" s="303"/>
      <c r="D34" s="168"/>
      <c r="E34" s="170"/>
      <c r="F34" s="169" t="s">
        <v>253</v>
      </c>
      <c r="G34" s="171" t="s">
        <v>251</v>
      </c>
      <c r="H34" s="114"/>
      <c r="I34" s="114"/>
      <c r="J34" s="114"/>
      <c r="K34" s="114"/>
      <c r="L34" s="114"/>
      <c r="M34" s="114"/>
      <c r="N34" s="112"/>
      <c r="O34" s="133"/>
      <c r="P34" s="133"/>
      <c r="Q34" s="133"/>
      <c r="R34" s="133"/>
      <c r="S34" s="133"/>
      <c r="T34" s="3" t="s">
        <v>240</v>
      </c>
      <c r="U34" t="s">
        <v>335</v>
      </c>
      <c r="Y34" s="3">
        <v>1.8</v>
      </c>
      <c r="Z34" s="3">
        <v>1.75</v>
      </c>
      <c r="AA34" s="3"/>
      <c r="AB34" s="3"/>
      <c r="AC34" s="112"/>
      <c r="AD34" s="112"/>
    </row>
    <row r="35" spans="1:30" ht="14.25" customHeight="1" x14ac:dyDescent="0.3">
      <c r="A35" s="112"/>
      <c r="B35" s="306" t="s">
        <v>241</v>
      </c>
      <c r="C35" s="307"/>
      <c r="D35" s="173" t="s">
        <v>246</v>
      </c>
      <c r="E35" s="174" t="s">
        <v>249</v>
      </c>
      <c r="F35" s="174" t="s">
        <v>249</v>
      </c>
      <c r="G35" s="175" t="s">
        <v>250</v>
      </c>
      <c r="H35" s="114"/>
      <c r="I35" s="114"/>
      <c r="J35" s="114"/>
      <c r="K35" s="114"/>
      <c r="L35" s="114"/>
      <c r="M35" s="114"/>
      <c r="N35" s="112"/>
      <c r="O35" s="133"/>
      <c r="P35" s="133"/>
      <c r="Q35" s="133"/>
      <c r="R35" s="133"/>
      <c r="S35" s="133"/>
      <c r="T35" s="3" t="s">
        <v>241</v>
      </c>
      <c r="U35" t="s">
        <v>342</v>
      </c>
      <c r="Y35" s="3">
        <v>2.73</v>
      </c>
      <c r="Z35" s="3">
        <v>1.64</v>
      </c>
      <c r="AA35" s="3">
        <v>60</v>
      </c>
      <c r="AB35" s="298">
        <f>Z35/AA35*100</f>
        <v>2.7333333333333329</v>
      </c>
      <c r="AC35" s="112"/>
      <c r="AD35" s="112"/>
    </row>
    <row r="36" spans="1:30" x14ac:dyDescent="0.3">
      <c r="A36" s="112"/>
      <c r="B36" s="300" t="str">
        <f>IF(B35="a","Brebis gestantes, 15 premières semaines",IF(B35="b","Chèvre laitière gestante",IF(B35="c","Chèvre de boucherie gestante",IF(B35="d","Brebis en lactation, 2 agneaux les 2 premiers mois",IF(B35="e","Chèvre laitière en lactation",IF(B35="f","Chèvre de boucherie en lactation",IF(B35="g","Agnelle gestante, 15 premières semaines",IF(B35="h","Agnelle de remplacement",IF(B35="i","Chevrette",IF(B35="j","Agneau sevré",IF(B35="k","Chevreau",IF(B35="l","(Aucun)","Faire votre choix"))))))))))))</f>
        <v>Chèvre laitière gestante</v>
      </c>
      <c r="C36" s="301" t="str">
        <f>IF(A38="a",90,IF(A38="b",90,IF(A38="c",70,IF(A38="d",30,IF(A38="e",120,IF(A38="f","aucun","aucun"))))))</f>
        <v>aucun</v>
      </c>
      <c r="D36" s="172">
        <f>IF(B35="a",90,IF(B35="b",60,IF(B35="c",80,IF(B35="d",90,IF(B35="e",60,IF(B35="f",80,IF(B35="g",70,IF(B35="h",30,IF(B35="i",40,IF(B35="j",50,IF(B35="k",25,IF(B35="l","aucun","aucun"))))))))))))</f>
        <v>60</v>
      </c>
      <c r="E36" s="296">
        <f>IF(B35="a",1.8,IF(B35="b",G36/D36*100,IF(B35="c",G36/D36*100,IF(B35="d",3.6,IF(B35="e",G36/D36*100,IF(B35="f",G36/D36*100,IF(B35="g",2.4,IF(B35="h",4.3,IF(B35="i",G36/D36*100,IF(B35="j",3,IF(B35="k",G36/D36*100,IF(B35="l","aucun","Erreur"))))))))))))</f>
        <v>2.7333333333333329</v>
      </c>
      <c r="F36" s="293">
        <v>0</v>
      </c>
      <c r="G36" s="297">
        <f>IF(B35="a",1.75-(F36/100)*1.75,IF(B35="b",1.64-(F36/100)*1.64,IF(B35="c",1.75-(F36/100)*1.75,IF(B35="d",3.5-(F36/100)*3.5,IF(B35="e",2.61-(F36/100)*2.61,IF(B35="f",2.11-(F36/100)*2.11,IF(B35="g",2.55-(F36/100)*2.55,IF(B35="h",0.71-(F36/100)*0.71,IF(B35="i",1.48-(F36/100)*1.48,IF(B35="j",1.25-(F36/100)*1.25,IF(B35="k",0.85-(F36/100)*0.85,IF(B35="l","aucun",1.75))))))))))))</f>
        <v>1.64</v>
      </c>
      <c r="H36" s="114"/>
      <c r="I36" s="114"/>
      <c r="J36" s="114"/>
      <c r="K36" s="114"/>
      <c r="L36" s="114"/>
      <c r="M36" s="114"/>
      <c r="N36" s="112"/>
      <c r="O36" s="133"/>
      <c r="P36" s="133"/>
      <c r="Q36" s="133"/>
      <c r="R36" s="133"/>
      <c r="S36" s="133"/>
      <c r="T36" s="3" t="s">
        <v>242</v>
      </c>
      <c r="U36" t="s">
        <v>343</v>
      </c>
      <c r="Y36" s="3">
        <v>2.19</v>
      </c>
      <c r="Z36" s="3">
        <v>1.75</v>
      </c>
      <c r="AA36" s="3">
        <v>80</v>
      </c>
      <c r="AB36" s="298">
        <f t="shared" ref="AB36:AB44" si="0">Z36/AA36*100</f>
        <v>2.1875</v>
      </c>
      <c r="AC36" s="112"/>
      <c r="AD36" s="112"/>
    </row>
    <row r="37" spans="1:30" ht="15" thickBot="1" x14ac:dyDescent="0.35">
      <c r="A37" s="112"/>
      <c r="B37" s="176" t="s">
        <v>265</v>
      </c>
      <c r="C37" s="177"/>
      <c r="D37" s="178"/>
      <c r="E37" s="180"/>
      <c r="F37" s="179"/>
      <c r="G37" s="181"/>
      <c r="H37" s="114"/>
      <c r="J37" s="114"/>
      <c r="K37" s="114"/>
      <c r="L37" s="114"/>
      <c r="M37" s="114"/>
      <c r="N37" s="112"/>
      <c r="O37" s="133"/>
      <c r="P37" s="133"/>
      <c r="Q37" s="133"/>
      <c r="R37" s="133"/>
      <c r="S37" s="133"/>
      <c r="T37" s="3" t="s">
        <v>243</v>
      </c>
      <c r="U37" t="s">
        <v>266</v>
      </c>
      <c r="Y37" s="3">
        <v>3.6</v>
      </c>
      <c r="Z37" s="3">
        <v>3.5</v>
      </c>
      <c r="AA37" s="3"/>
      <c r="AB37" s="298"/>
      <c r="AC37" s="112"/>
      <c r="AD37" s="112"/>
    </row>
    <row r="38" spans="1:30" ht="14.25" customHeight="1" x14ac:dyDescent="0.3">
      <c r="A38" s="112"/>
      <c r="B38" s="112"/>
      <c r="C38" s="112"/>
      <c r="D38" s="113"/>
      <c r="E38" s="114"/>
      <c r="F38" s="115"/>
      <c r="G38" s="114"/>
      <c r="H38" s="112"/>
      <c r="I38" s="114"/>
      <c r="J38" s="114"/>
      <c r="K38" s="114"/>
      <c r="L38" s="114"/>
      <c r="M38" s="114"/>
      <c r="N38" s="114"/>
      <c r="O38" s="112"/>
      <c r="P38" s="133"/>
      <c r="Q38" s="133"/>
      <c r="R38" s="133"/>
      <c r="S38" s="133"/>
      <c r="T38" s="3" t="s">
        <v>244</v>
      </c>
      <c r="U38" t="s">
        <v>344</v>
      </c>
      <c r="Y38" s="3">
        <v>4.3499999999999996</v>
      </c>
      <c r="Z38" s="3">
        <v>2.61</v>
      </c>
      <c r="AA38" s="3">
        <v>60</v>
      </c>
      <c r="AB38" s="298">
        <f t="shared" si="0"/>
        <v>4.3499999999999996</v>
      </c>
      <c r="AD38" s="112"/>
    </row>
    <row r="39" spans="1:30" ht="15" customHeight="1" x14ac:dyDescent="0.35">
      <c r="A39" s="112"/>
      <c r="B39" s="154" t="s">
        <v>264</v>
      </c>
      <c r="C39" s="112"/>
      <c r="D39" s="113"/>
      <c r="E39" s="114"/>
      <c r="F39" s="115"/>
      <c r="G39" s="114"/>
      <c r="H39" s="112"/>
      <c r="I39" s="114"/>
      <c r="J39" s="114"/>
      <c r="K39" s="114"/>
      <c r="L39" s="114"/>
      <c r="M39" s="114"/>
      <c r="N39" s="114"/>
      <c r="O39" s="112"/>
      <c r="P39" s="133"/>
      <c r="Q39" s="133"/>
      <c r="R39" s="133"/>
      <c r="S39" s="133"/>
      <c r="T39" s="3" t="s">
        <v>245</v>
      </c>
      <c r="U39" t="s">
        <v>345</v>
      </c>
      <c r="Y39" s="3">
        <v>2.64</v>
      </c>
      <c r="Z39" s="3">
        <v>2.11</v>
      </c>
      <c r="AA39" s="3">
        <v>80</v>
      </c>
      <c r="AB39" s="298">
        <f t="shared" si="0"/>
        <v>2.6374999999999997</v>
      </c>
      <c r="AD39" s="112"/>
    </row>
    <row r="40" spans="1:30" x14ac:dyDescent="0.3">
      <c r="A40" s="112"/>
      <c r="B40" s="112"/>
      <c r="C40" s="112"/>
      <c r="D40" s="113"/>
      <c r="E40" s="114"/>
      <c r="F40" s="115"/>
      <c r="G40" s="114"/>
      <c r="H40" s="112"/>
      <c r="I40" s="114"/>
      <c r="J40" s="114"/>
      <c r="K40" s="114"/>
      <c r="L40" s="114"/>
      <c r="M40" s="114"/>
      <c r="N40" s="114"/>
      <c r="O40" s="112"/>
      <c r="P40" s="133"/>
      <c r="Q40" s="133"/>
      <c r="R40" s="133"/>
      <c r="S40" s="133"/>
      <c r="T40" s="3" t="s">
        <v>326</v>
      </c>
      <c r="U40" t="s">
        <v>348</v>
      </c>
      <c r="Y40" s="3">
        <v>2.4</v>
      </c>
      <c r="Z40" s="3">
        <v>2.5499999999999998</v>
      </c>
      <c r="AA40" s="3"/>
      <c r="AB40" s="3"/>
      <c r="AD40" s="112"/>
    </row>
    <row r="41" spans="1:30" ht="15" thickBot="1" x14ac:dyDescent="0.35">
      <c r="A41" s="112"/>
      <c r="B41" s="112"/>
      <c r="C41" s="112"/>
      <c r="D41" s="113"/>
      <c r="E41" s="114"/>
      <c r="F41" s="115"/>
      <c r="G41" s="114"/>
      <c r="H41" s="112"/>
      <c r="I41" s="114"/>
      <c r="J41" s="114"/>
      <c r="K41" s="114"/>
      <c r="L41" s="114"/>
      <c r="M41" s="114"/>
      <c r="N41" s="114"/>
      <c r="O41" s="112"/>
      <c r="P41" s="133"/>
      <c r="Q41" s="133"/>
      <c r="R41" s="133"/>
      <c r="S41" s="133"/>
      <c r="T41" s="3" t="s">
        <v>327</v>
      </c>
      <c r="U41" t="s">
        <v>349</v>
      </c>
      <c r="Y41" s="3">
        <v>4.3</v>
      </c>
      <c r="Z41" s="3">
        <v>0.71</v>
      </c>
      <c r="AA41" s="3"/>
      <c r="AB41" s="3"/>
      <c r="AD41" s="112"/>
    </row>
    <row r="42" spans="1:30" x14ac:dyDescent="0.3">
      <c r="A42" s="112"/>
      <c r="B42" s="112"/>
      <c r="C42" s="183"/>
      <c r="D42" s="197" t="s">
        <v>254</v>
      </c>
      <c r="E42" s="184"/>
      <c r="F42" s="114"/>
      <c r="G42" s="198" t="s">
        <v>259</v>
      </c>
      <c r="H42" s="114"/>
      <c r="I42" s="112"/>
      <c r="J42" s="114"/>
      <c r="K42" s="114"/>
      <c r="L42" s="114"/>
      <c r="M42" s="114"/>
      <c r="N42" s="114"/>
      <c r="O42" s="114"/>
      <c r="P42" s="112"/>
      <c r="Q42" s="133"/>
      <c r="R42" s="133"/>
      <c r="S42" s="133"/>
      <c r="T42" s="3" t="s">
        <v>337</v>
      </c>
      <c r="U42" t="s">
        <v>346</v>
      </c>
      <c r="Y42" s="3">
        <v>3.7</v>
      </c>
      <c r="Z42" s="3">
        <v>1.48</v>
      </c>
      <c r="AA42" s="3">
        <v>40</v>
      </c>
      <c r="AB42" s="3">
        <f t="shared" si="0"/>
        <v>3.6999999999999997</v>
      </c>
      <c r="AD42" s="112"/>
    </row>
    <row r="43" spans="1:30" x14ac:dyDescent="0.3">
      <c r="A43" s="112"/>
      <c r="B43" s="112"/>
      <c r="C43" s="167"/>
      <c r="D43" s="126"/>
      <c r="E43" s="185"/>
      <c r="F43" s="114"/>
      <c r="G43" s="199" t="s">
        <v>260</v>
      </c>
      <c r="H43" s="114"/>
      <c r="I43" s="112"/>
      <c r="J43" s="114"/>
      <c r="K43" s="114"/>
      <c r="L43" s="114"/>
      <c r="M43" s="114"/>
      <c r="N43" s="114"/>
      <c r="O43" s="114"/>
      <c r="P43" s="112"/>
      <c r="Q43" s="133"/>
      <c r="R43" s="133"/>
      <c r="S43" s="133"/>
      <c r="T43" s="3" t="s">
        <v>338</v>
      </c>
      <c r="U43" t="s">
        <v>350</v>
      </c>
      <c r="Y43" s="3">
        <v>3</v>
      </c>
      <c r="Z43" s="3">
        <v>1.25</v>
      </c>
      <c r="AA43" s="3"/>
      <c r="AB43" s="3"/>
      <c r="AD43" s="112"/>
    </row>
    <row r="44" spans="1:30" ht="15" thickBot="1" x14ac:dyDescent="0.35">
      <c r="A44" s="112"/>
      <c r="B44" s="112"/>
      <c r="C44" s="186"/>
      <c r="D44" s="192" t="s">
        <v>256</v>
      </c>
      <c r="E44" s="193" t="s">
        <v>257</v>
      </c>
      <c r="F44" s="114"/>
      <c r="G44" s="294">
        <v>180</v>
      </c>
      <c r="H44" s="114"/>
      <c r="I44" s="112"/>
      <c r="J44" s="114"/>
      <c r="K44" s="114"/>
      <c r="L44" s="114"/>
      <c r="M44" s="114"/>
      <c r="N44" s="114"/>
      <c r="O44" s="114"/>
      <c r="P44" s="112"/>
      <c r="Q44" s="133"/>
      <c r="R44" s="133"/>
      <c r="S44" s="133"/>
      <c r="T44" s="3" t="s">
        <v>339</v>
      </c>
      <c r="U44" t="s">
        <v>347</v>
      </c>
      <c r="Y44" s="3">
        <v>3.4</v>
      </c>
      <c r="Z44" s="3">
        <v>0.85</v>
      </c>
      <c r="AA44" s="3">
        <v>25</v>
      </c>
      <c r="AB44" s="3">
        <f t="shared" si="0"/>
        <v>3.4000000000000004</v>
      </c>
      <c r="AD44" s="112"/>
    </row>
    <row r="45" spans="1:30" x14ac:dyDescent="0.3">
      <c r="A45" s="112"/>
      <c r="B45" s="112"/>
      <c r="C45" s="186"/>
      <c r="D45" s="194" t="s">
        <v>258</v>
      </c>
      <c r="E45" s="195" t="s">
        <v>255</v>
      </c>
      <c r="F45" s="114"/>
      <c r="G45" s="5"/>
      <c r="H45" s="114"/>
      <c r="I45" s="112"/>
      <c r="J45" s="114"/>
      <c r="K45" s="114"/>
      <c r="L45" s="114"/>
      <c r="M45" s="114"/>
      <c r="N45" s="114"/>
      <c r="O45" s="114"/>
      <c r="P45" s="112"/>
      <c r="Q45" s="133"/>
      <c r="R45" s="133"/>
      <c r="S45" s="133"/>
      <c r="T45" s="3" t="s">
        <v>340</v>
      </c>
      <c r="U45" t="s">
        <v>224</v>
      </c>
      <c r="Y45" s="3"/>
      <c r="AD45" s="112"/>
    </row>
    <row r="46" spans="1:30" x14ac:dyDescent="0.3">
      <c r="A46" s="112"/>
      <c r="B46" s="112"/>
      <c r="C46" s="189" t="s">
        <v>287</v>
      </c>
      <c r="D46" s="191">
        <v>5000</v>
      </c>
      <c r="E46" s="295">
        <v>0</v>
      </c>
      <c r="F46" s="114"/>
      <c r="G46" s="115"/>
      <c r="H46" s="114"/>
      <c r="I46" s="112"/>
      <c r="J46" s="114"/>
      <c r="K46" s="114"/>
      <c r="L46" s="114"/>
      <c r="M46" s="114"/>
      <c r="N46" s="114"/>
      <c r="O46" s="114"/>
      <c r="P46" s="112"/>
      <c r="Q46" s="133"/>
      <c r="R46" s="133"/>
      <c r="S46" s="133"/>
      <c r="AD46" s="112"/>
    </row>
    <row r="47" spans="1:30" x14ac:dyDescent="0.3">
      <c r="A47" s="112"/>
      <c r="B47" s="112"/>
      <c r="C47" s="190" t="s">
        <v>149</v>
      </c>
      <c r="D47" s="182">
        <v>899.97</v>
      </c>
      <c r="E47" s="295">
        <v>0</v>
      </c>
      <c r="F47" s="114"/>
      <c r="G47" s="115"/>
      <c r="H47" s="114"/>
      <c r="I47" s="112"/>
      <c r="J47" s="114"/>
      <c r="K47" s="114"/>
      <c r="L47" s="114"/>
      <c r="M47" s="114"/>
      <c r="N47" s="114"/>
      <c r="O47" s="114"/>
      <c r="P47" s="112"/>
      <c r="Q47" s="133"/>
      <c r="R47" s="133"/>
      <c r="S47" s="133"/>
      <c r="AD47" s="112"/>
    </row>
    <row r="48" spans="1:30" ht="15" thickBot="1" x14ac:dyDescent="0.35">
      <c r="A48" s="112"/>
      <c r="B48" s="112"/>
      <c r="C48" s="187"/>
      <c r="D48" s="188"/>
      <c r="E48" s="196"/>
      <c r="F48" s="114"/>
      <c r="G48" s="115"/>
      <c r="H48" s="114"/>
      <c r="I48" s="112"/>
      <c r="J48" s="114"/>
      <c r="K48" s="114"/>
      <c r="L48" s="114"/>
      <c r="M48" s="114"/>
      <c r="N48" s="114"/>
      <c r="O48" s="114"/>
      <c r="P48" s="112"/>
      <c r="Q48" s="133"/>
      <c r="R48" s="133"/>
      <c r="S48" s="133"/>
      <c r="T48" s="15"/>
      <c r="AD48" s="112"/>
    </row>
    <row r="49" spans="1:30" x14ac:dyDescent="0.3">
      <c r="A49" s="112"/>
      <c r="B49" s="112"/>
      <c r="C49" s="112"/>
      <c r="D49" s="112"/>
      <c r="E49" s="4"/>
      <c r="F49" s="114"/>
      <c r="G49" s="115"/>
      <c r="H49" s="114"/>
      <c r="I49" s="112"/>
      <c r="J49" s="114"/>
      <c r="K49" s="114"/>
      <c r="L49" s="114"/>
      <c r="M49" s="114"/>
      <c r="N49" s="114"/>
      <c r="O49" s="114"/>
      <c r="P49" s="112"/>
      <c r="Q49" s="133"/>
      <c r="R49" s="133"/>
      <c r="S49" s="133"/>
      <c r="T49" s="15"/>
      <c r="AD49" s="112"/>
    </row>
    <row r="50" spans="1:30" x14ac:dyDescent="0.3">
      <c r="A50" s="112"/>
      <c r="B50" s="112"/>
      <c r="C50" s="112"/>
      <c r="D50" s="112"/>
      <c r="E50" s="113"/>
      <c r="F50" s="114"/>
      <c r="G50" s="115"/>
      <c r="H50" s="114"/>
      <c r="I50" s="112"/>
      <c r="J50" s="114"/>
      <c r="K50" s="114"/>
      <c r="L50" s="114"/>
      <c r="M50" s="114"/>
      <c r="N50" s="114"/>
      <c r="O50" s="114"/>
      <c r="P50" s="112"/>
      <c r="Q50" s="133"/>
      <c r="R50" s="133"/>
      <c r="S50" s="133"/>
      <c r="T50" s="15"/>
      <c r="AD50" s="112"/>
    </row>
    <row r="51" spans="1:30" x14ac:dyDescent="0.3">
      <c r="A51" s="112"/>
      <c r="B51" s="112"/>
      <c r="C51" s="112"/>
      <c r="D51" s="112"/>
      <c r="E51" s="113"/>
      <c r="F51" s="114"/>
      <c r="G51" s="115"/>
      <c r="H51" s="114"/>
      <c r="I51" s="112"/>
      <c r="J51" s="299" t="s">
        <v>356</v>
      </c>
      <c r="K51" s="114"/>
      <c r="L51" s="114"/>
      <c r="M51" s="114"/>
      <c r="N51" s="114"/>
      <c r="O51" s="114"/>
      <c r="P51" s="112"/>
      <c r="Q51" s="133"/>
      <c r="R51" s="133"/>
      <c r="S51" s="133"/>
      <c r="T51" s="15"/>
      <c r="U51" t="s">
        <v>328</v>
      </c>
      <c r="AD51" s="112"/>
    </row>
    <row r="52" spans="1:30" x14ac:dyDescent="0.3">
      <c r="A52" s="112"/>
      <c r="B52" s="112"/>
      <c r="C52" s="131"/>
      <c r="D52" s="131"/>
      <c r="E52" s="113"/>
      <c r="F52" s="114"/>
      <c r="G52" s="115"/>
      <c r="H52" s="114"/>
      <c r="I52" s="112"/>
      <c r="J52" s="114"/>
      <c r="K52" s="114"/>
      <c r="L52" s="114"/>
      <c r="M52" s="114"/>
      <c r="N52" s="114"/>
      <c r="O52" s="114"/>
      <c r="P52" s="112"/>
      <c r="Q52" s="133"/>
      <c r="R52" s="133"/>
      <c r="S52" s="133"/>
      <c r="T52" s="15"/>
      <c r="AD52" s="112"/>
    </row>
    <row r="53" spans="1:30" x14ac:dyDescent="0.3">
      <c r="A53" s="112"/>
      <c r="B53" s="112"/>
      <c r="C53" s="200"/>
      <c r="D53" s="200"/>
      <c r="E53" s="201"/>
      <c r="F53" s="202"/>
      <c r="G53" s="203"/>
      <c r="H53" s="202"/>
      <c r="I53" s="200"/>
      <c r="J53" s="202"/>
      <c r="K53" s="129"/>
      <c r="L53" s="114"/>
      <c r="M53" s="114"/>
      <c r="N53" s="114"/>
      <c r="O53" s="114"/>
      <c r="P53" s="112"/>
      <c r="Q53" s="133"/>
      <c r="R53" s="133"/>
      <c r="S53" s="133"/>
      <c r="T53" s="15"/>
      <c r="U53" t="s">
        <v>329</v>
      </c>
      <c r="AD53" s="112"/>
    </row>
    <row r="54" spans="1:30" x14ac:dyDescent="0.3">
      <c r="A54" s="112"/>
      <c r="B54" s="112"/>
      <c r="C54" s="200"/>
      <c r="D54" s="200"/>
      <c r="E54" s="201"/>
      <c r="F54" s="202"/>
      <c r="G54" s="203"/>
      <c r="H54" s="202"/>
      <c r="I54" s="200"/>
      <c r="J54" s="202"/>
      <c r="K54" s="129"/>
      <c r="L54" s="114"/>
      <c r="M54" s="114"/>
      <c r="N54" s="114"/>
      <c r="O54" s="114"/>
      <c r="P54" s="112"/>
      <c r="Q54" s="133"/>
      <c r="R54" s="133"/>
      <c r="S54" s="133"/>
      <c r="T54" s="15"/>
      <c r="U54" t="s">
        <v>330</v>
      </c>
      <c r="AD54" s="112"/>
    </row>
    <row r="55" spans="1:30" x14ac:dyDescent="0.3">
      <c r="A55" s="112"/>
      <c r="B55" s="112"/>
      <c r="C55" s="200"/>
      <c r="D55" s="200"/>
      <c r="E55" s="201"/>
      <c r="F55" s="202"/>
      <c r="G55" s="203"/>
      <c r="H55" s="202"/>
      <c r="I55" s="200"/>
      <c r="J55" s="202"/>
      <c r="K55" s="129"/>
      <c r="L55" s="114"/>
      <c r="M55" s="114"/>
      <c r="N55" s="114"/>
      <c r="O55" s="114"/>
      <c r="P55" s="112"/>
      <c r="Q55" s="133"/>
      <c r="R55" s="133"/>
      <c r="S55" s="133"/>
      <c r="T55" s="15"/>
      <c r="AD55" s="112"/>
    </row>
    <row r="56" spans="1:30" x14ac:dyDescent="0.3">
      <c r="A56" s="112"/>
      <c r="B56" s="112"/>
      <c r="C56" s="200"/>
      <c r="D56" s="200"/>
      <c r="E56" s="201"/>
      <c r="F56" s="202"/>
      <c r="G56" s="203"/>
      <c r="H56" s="202"/>
      <c r="I56" s="200"/>
      <c r="J56" s="202"/>
      <c r="K56" s="129"/>
      <c r="L56" s="129"/>
      <c r="M56" s="114"/>
      <c r="N56" s="114"/>
      <c r="O56" s="114"/>
      <c r="P56" s="112"/>
      <c r="Q56" s="133"/>
      <c r="R56" s="133"/>
      <c r="S56" s="133"/>
      <c r="T56" s="15"/>
      <c r="U56" t="s">
        <v>331</v>
      </c>
      <c r="AD56" s="112"/>
    </row>
    <row r="57" spans="1:30" x14ac:dyDescent="0.3">
      <c r="A57" s="112"/>
      <c r="B57" s="112"/>
      <c r="C57" s="200"/>
      <c r="D57" s="200"/>
      <c r="E57" s="202" t="s">
        <v>221</v>
      </c>
      <c r="F57" s="202" t="s">
        <v>220</v>
      </c>
      <c r="G57" s="202"/>
      <c r="H57" s="202" t="s">
        <v>200</v>
      </c>
      <c r="I57" s="202" t="s">
        <v>199</v>
      </c>
      <c r="J57" s="202"/>
      <c r="K57" s="129"/>
      <c r="L57" s="129"/>
      <c r="M57" s="114"/>
      <c r="N57" s="114"/>
      <c r="O57" s="114"/>
      <c r="P57" s="112"/>
      <c r="Q57" s="133"/>
      <c r="R57" s="133"/>
      <c r="S57" s="133"/>
      <c r="T57" s="15"/>
      <c r="U57" t="s">
        <v>332</v>
      </c>
      <c r="AD57" s="112"/>
    </row>
    <row r="58" spans="1:30" x14ac:dyDescent="0.3">
      <c r="A58" s="112"/>
      <c r="B58" s="112"/>
      <c r="C58" s="200"/>
      <c r="D58" s="200"/>
      <c r="E58" s="204">
        <f>B30</f>
        <v>48.410251816780821</v>
      </c>
      <c r="F58" s="202">
        <v>1</v>
      </c>
      <c r="G58" s="202"/>
      <c r="H58" s="204">
        <f>B28</f>
        <v>7716.3470000000007</v>
      </c>
      <c r="I58" s="204">
        <f>B26</f>
        <v>17398.397363356165</v>
      </c>
      <c r="J58" s="202"/>
      <c r="K58" s="129"/>
      <c r="L58" s="129"/>
      <c r="M58" s="114"/>
      <c r="N58" s="114"/>
      <c r="O58" s="114"/>
      <c r="P58" s="112"/>
      <c r="Q58" s="133"/>
      <c r="R58" s="133"/>
      <c r="S58" s="133"/>
      <c r="T58" s="15"/>
      <c r="AD58" s="112"/>
    </row>
    <row r="59" spans="1:30" x14ac:dyDescent="0.3">
      <c r="A59" s="112"/>
      <c r="B59" s="112"/>
      <c r="C59" s="200"/>
      <c r="D59" s="200"/>
      <c r="E59" s="204">
        <f>D30</f>
        <v>48.419559816780819</v>
      </c>
      <c r="F59" s="202">
        <v>2</v>
      </c>
      <c r="G59" s="202"/>
      <c r="H59" s="204">
        <f>D28</f>
        <v>7714.4854000000005</v>
      </c>
      <c r="I59" s="204">
        <f>D26</f>
        <v>17398.397363356165</v>
      </c>
      <c r="J59" s="202"/>
      <c r="K59" s="129"/>
      <c r="L59" s="129"/>
      <c r="M59" s="114"/>
      <c r="N59" s="114"/>
      <c r="O59" s="114"/>
      <c r="P59" s="112"/>
      <c r="Q59" s="133"/>
      <c r="R59" s="133"/>
      <c r="S59" s="133"/>
      <c r="T59" s="15"/>
      <c r="U59" t="s">
        <v>333</v>
      </c>
      <c r="AD59" s="112"/>
    </row>
    <row r="60" spans="1:30" x14ac:dyDescent="0.3">
      <c r="A60" s="112"/>
      <c r="B60" s="112"/>
      <c r="C60" s="200"/>
      <c r="D60" s="200"/>
      <c r="E60" s="204">
        <f>G30</f>
        <v>47.912319816780816</v>
      </c>
      <c r="F60" s="202">
        <v>3</v>
      </c>
      <c r="G60" s="202"/>
      <c r="H60" s="204">
        <f>G28</f>
        <v>7815.9334000000008</v>
      </c>
      <c r="I60" s="204">
        <f>G26</f>
        <v>17398.397363356165</v>
      </c>
      <c r="J60" s="202"/>
      <c r="K60" s="129"/>
      <c r="L60" s="129"/>
      <c r="M60" s="114"/>
      <c r="N60" s="114"/>
      <c r="O60" s="114"/>
      <c r="P60" s="112"/>
      <c r="Q60" s="133"/>
      <c r="R60" s="133"/>
      <c r="S60" s="133"/>
      <c r="T60" s="15"/>
      <c r="U60" t="s">
        <v>334</v>
      </c>
      <c r="AD60" s="112"/>
    </row>
    <row r="61" spans="1:30" x14ac:dyDescent="0.3">
      <c r="A61" s="112"/>
      <c r="B61" s="112"/>
      <c r="C61" s="200"/>
      <c r="D61" s="200"/>
      <c r="E61" s="204">
        <f>J30</f>
        <v>47.224912816780822</v>
      </c>
      <c r="F61" s="202">
        <v>4</v>
      </c>
      <c r="G61" s="202"/>
      <c r="H61" s="204">
        <f>J28</f>
        <v>7953.4148000000005</v>
      </c>
      <c r="I61" s="204">
        <f>J26</f>
        <v>17398.397363356165</v>
      </c>
      <c r="J61" s="202"/>
      <c r="K61" s="129"/>
      <c r="L61" s="129"/>
      <c r="M61" s="114"/>
      <c r="N61" s="114"/>
      <c r="O61" s="114"/>
      <c r="P61" s="112"/>
      <c r="Q61" s="133"/>
      <c r="R61" s="133"/>
      <c r="S61" s="133"/>
      <c r="T61" s="15"/>
      <c r="AD61" s="112"/>
    </row>
    <row r="62" spans="1:30" x14ac:dyDescent="0.3">
      <c r="A62" s="112"/>
      <c r="B62" s="112"/>
      <c r="C62" s="200"/>
      <c r="D62" s="200"/>
      <c r="E62" s="204">
        <f>M30</f>
        <v>46.679420614923437</v>
      </c>
      <c r="F62" s="202">
        <v>5</v>
      </c>
      <c r="G62" s="202"/>
      <c r="H62" s="204">
        <f>M28</f>
        <v>8062.5132403714779</v>
      </c>
      <c r="I62" s="204">
        <f>M26</f>
        <v>17398.397363356165</v>
      </c>
      <c r="J62" s="202"/>
      <c r="K62" s="129"/>
      <c r="L62" s="129"/>
      <c r="M62" s="114"/>
      <c r="N62" s="114"/>
      <c r="O62" s="114"/>
      <c r="P62" s="112"/>
      <c r="Q62" s="133"/>
      <c r="R62" s="133"/>
      <c r="S62" s="133"/>
      <c r="T62" s="15"/>
      <c r="AD62" s="112"/>
    </row>
    <row r="63" spans="1:30" x14ac:dyDescent="0.3">
      <c r="A63" s="112"/>
      <c r="B63" s="112"/>
      <c r="C63" s="200"/>
      <c r="D63" s="200"/>
      <c r="E63" s="201"/>
      <c r="F63" s="202"/>
      <c r="G63" s="202"/>
      <c r="H63" s="202"/>
      <c r="I63" s="202"/>
      <c r="J63" s="202"/>
      <c r="K63" s="129"/>
      <c r="L63" s="129"/>
      <c r="M63" s="114"/>
      <c r="N63" s="114"/>
      <c r="O63" s="114"/>
      <c r="P63" s="112"/>
      <c r="Q63" s="133"/>
      <c r="R63" s="133"/>
      <c r="S63" s="133"/>
      <c r="T63" s="133"/>
      <c r="AD63" s="112"/>
    </row>
    <row r="64" spans="1:30" x14ac:dyDescent="0.3">
      <c r="A64" s="112"/>
      <c r="B64" s="112"/>
      <c r="C64" s="200"/>
      <c r="D64" s="200"/>
      <c r="E64" s="201">
        <f>IF(B30="Mauvaise saisie",0,E58)</f>
        <v>48.410251816780821</v>
      </c>
      <c r="F64" s="202">
        <f>IF(E64&gt;0,1,0)</f>
        <v>1</v>
      </c>
      <c r="G64" s="203"/>
      <c r="H64" s="205">
        <f>IF(B30="Mauvaise saisie",0,H58)</f>
        <v>7716.3470000000007</v>
      </c>
      <c r="I64" s="202">
        <f>IF(H64&gt;0,1,0)</f>
        <v>1</v>
      </c>
      <c r="J64" s="206">
        <f>IF(B30="Mauvaise saisie",0,I58)</f>
        <v>17398.397363356165</v>
      </c>
      <c r="K64" s="129"/>
      <c r="L64" s="129"/>
      <c r="M64" s="114"/>
      <c r="N64" s="114"/>
      <c r="O64" s="114"/>
      <c r="P64" s="112"/>
      <c r="Q64" s="133"/>
      <c r="R64" s="133"/>
      <c r="S64" s="133"/>
      <c r="T64" s="133"/>
      <c r="AD64" s="112"/>
    </row>
    <row r="65" spans="1:30" x14ac:dyDescent="0.3">
      <c r="A65" s="112"/>
      <c r="B65" s="112"/>
      <c r="C65" s="200"/>
      <c r="D65" s="200"/>
      <c r="E65" s="201">
        <f>IF(D30="Mauvaise saisie",0,E59)</f>
        <v>48.419559816780819</v>
      </c>
      <c r="F65" s="202">
        <f t="shared" ref="F65:F68" si="1">IF(E65&gt;0,1,0)</f>
        <v>1</v>
      </c>
      <c r="G65" s="203"/>
      <c r="H65" s="205">
        <f>IF(D30="Mauvaise saisie",0,H59)</f>
        <v>7714.4854000000005</v>
      </c>
      <c r="I65" s="202">
        <f t="shared" ref="I65:I68" si="2">IF(H65&gt;0,1,0)</f>
        <v>1</v>
      </c>
      <c r="J65" s="206">
        <f>IF(D30="Mauvaise saisie",0,I59)</f>
        <v>17398.397363356165</v>
      </c>
      <c r="K65" s="129"/>
      <c r="L65" s="129"/>
      <c r="M65" s="114"/>
      <c r="N65" s="114"/>
      <c r="O65" s="114"/>
      <c r="P65" s="112"/>
      <c r="Q65" s="133"/>
      <c r="R65" s="133"/>
      <c r="S65" s="133"/>
      <c r="T65" s="133"/>
      <c r="AD65" s="112"/>
    </row>
    <row r="66" spans="1:30" x14ac:dyDescent="0.3">
      <c r="A66" s="112"/>
      <c r="B66" s="112"/>
      <c r="C66" s="200"/>
      <c r="D66" s="200"/>
      <c r="E66" s="201">
        <f>IF(G30="Mauvaise saisie",0,E60)</f>
        <v>47.912319816780816</v>
      </c>
      <c r="F66" s="202">
        <f t="shared" si="1"/>
        <v>1</v>
      </c>
      <c r="G66" s="203"/>
      <c r="H66" s="205">
        <f>IF(G30="Mauvaise saisie",0,H60)</f>
        <v>7815.9334000000008</v>
      </c>
      <c r="I66" s="202">
        <f t="shared" si="2"/>
        <v>1</v>
      </c>
      <c r="J66" s="206">
        <f>IF(G30="Mauvaise saisie",0,I60)</f>
        <v>17398.397363356165</v>
      </c>
      <c r="K66" s="129"/>
      <c r="L66" s="114"/>
      <c r="M66" s="114"/>
      <c r="N66" s="114"/>
      <c r="O66" s="114"/>
      <c r="P66" s="112"/>
      <c r="Q66" s="133"/>
      <c r="R66" s="133"/>
      <c r="S66" s="133"/>
      <c r="T66" s="133"/>
      <c r="AD66" s="112"/>
    </row>
    <row r="67" spans="1:30" x14ac:dyDescent="0.3">
      <c r="A67" s="112"/>
      <c r="B67" s="112"/>
      <c r="C67" s="200"/>
      <c r="D67" s="200"/>
      <c r="E67" s="201">
        <f>IF(J30="Mauvaise saisie",0,E61)</f>
        <v>47.224912816780822</v>
      </c>
      <c r="F67" s="202">
        <f t="shared" si="1"/>
        <v>1</v>
      </c>
      <c r="G67" s="203"/>
      <c r="H67" s="205">
        <f>IF(J30="Mauvaise saisie",0,H61)</f>
        <v>7953.4148000000005</v>
      </c>
      <c r="I67" s="202">
        <f t="shared" si="2"/>
        <v>1</v>
      </c>
      <c r="J67" s="206">
        <f>IF(J30="Mauvaise saisie",0,I61)</f>
        <v>17398.397363356165</v>
      </c>
      <c r="K67" s="129"/>
      <c r="L67" s="114"/>
      <c r="M67" s="114"/>
      <c r="N67" s="114"/>
      <c r="O67" s="114"/>
      <c r="P67" s="112"/>
      <c r="Q67" s="133"/>
      <c r="R67" s="133"/>
      <c r="S67" s="133"/>
      <c r="T67" s="133"/>
      <c r="AD67" s="112"/>
    </row>
    <row r="68" spans="1:30" s="132" customFormat="1" x14ac:dyDescent="0.3">
      <c r="A68" s="112"/>
      <c r="B68" s="112"/>
      <c r="C68" s="200"/>
      <c r="D68" s="203" t="s">
        <v>226</v>
      </c>
      <c r="E68" s="201">
        <f>IF(M30="Mauvaise saisie",0,E62)</f>
        <v>46.679420614923437</v>
      </c>
      <c r="F68" s="202">
        <f t="shared" si="1"/>
        <v>1</v>
      </c>
      <c r="G68" s="203"/>
      <c r="H68" s="205">
        <f>IF(M30="Mauvaise saisie",0,H62)</f>
        <v>8062.5132403714779</v>
      </c>
      <c r="I68" s="202">
        <f t="shared" si="2"/>
        <v>1</v>
      </c>
      <c r="J68" s="206">
        <f>IF(M30="Mauvaise saisie",0,I62)</f>
        <v>17398.397363356165</v>
      </c>
      <c r="K68" s="129"/>
      <c r="L68" s="114"/>
      <c r="M68" s="114"/>
      <c r="N68" s="114"/>
      <c r="O68" s="114"/>
      <c r="P68" s="112"/>
      <c r="Q68" s="133"/>
      <c r="R68" s="133"/>
      <c r="S68" s="133"/>
      <c r="T68" s="133"/>
      <c r="U68"/>
      <c r="AD68" s="112"/>
    </row>
    <row r="69" spans="1:30" s="132" customFormat="1" x14ac:dyDescent="0.3">
      <c r="A69" s="112"/>
      <c r="B69" s="112"/>
      <c r="C69" s="200"/>
      <c r="D69" s="203" t="s">
        <v>225</v>
      </c>
      <c r="E69" s="201">
        <f>SUM(E64:E68)</f>
        <v>238.6464648820467</v>
      </c>
      <c r="F69" s="202">
        <f>SUM(F64:F68)</f>
        <v>5</v>
      </c>
      <c r="G69" s="203"/>
      <c r="H69" s="205">
        <f>SUM(H64:H68)</f>
        <v>39262.693840371474</v>
      </c>
      <c r="I69" s="202">
        <f>SUM(I64:I68)</f>
        <v>5</v>
      </c>
      <c r="J69" s="207">
        <f>SUM(J64:J68)</f>
        <v>86991.986816780831</v>
      </c>
      <c r="K69" s="129"/>
      <c r="L69" s="114"/>
      <c r="M69" s="114"/>
      <c r="N69" s="114"/>
      <c r="O69" s="114"/>
      <c r="P69" s="112"/>
      <c r="Q69" s="133"/>
      <c r="R69" s="133"/>
      <c r="S69" s="133"/>
      <c r="T69" s="133"/>
      <c r="U69"/>
      <c r="AD69" s="112"/>
    </row>
    <row r="70" spans="1:30" s="132" customFormat="1" x14ac:dyDescent="0.3">
      <c r="A70" s="112"/>
      <c r="B70" s="112"/>
      <c r="C70" s="200"/>
      <c r="D70" s="200"/>
      <c r="E70" s="203">
        <f>E69/F69</f>
        <v>47.72929297640934</v>
      </c>
      <c r="F70" s="202"/>
      <c r="G70" s="203"/>
      <c r="H70" s="204">
        <f>H69/I69</f>
        <v>7852.5387680742951</v>
      </c>
      <c r="I70" s="204"/>
      <c r="J70" s="204">
        <f>J69/I69</f>
        <v>17398.397363356165</v>
      </c>
      <c r="K70" s="129"/>
      <c r="L70" s="114"/>
      <c r="M70" s="114"/>
      <c r="N70" s="114"/>
      <c r="O70" s="114"/>
      <c r="P70" s="112"/>
      <c r="Q70" s="133"/>
      <c r="R70" s="133"/>
      <c r="S70" s="133"/>
      <c r="T70" s="133"/>
      <c r="AD70" s="112"/>
    </row>
    <row r="71" spans="1:30" s="132" customFormat="1" x14ac:dyDescent="0.3">
      <c r="A71" s="112"/>
      <c r="B71" s="112"/>
      <c r="C71" s="200"/>
      <c r="D71" s="200"/>
      <c r="E71" s="203"/>
      <c r="F71" s="202"/>
      <c r="G71" s="203"/>
      <c r="H71" s="202"/>
      <c r="I71" s="200"/>
      <c r="J71" s="202"/>
      <c r="K71" s="129"/>
      <c r="L71" s="114"/>
      <c r="M71" s="114"/>
      <c r="N71" s="114"/>
      <c r="O71" s="114"/>
      <c r="P71" s="112"/>
      <c r="Q71" s="133"/>
      <c r="R71" s="133"/>
      <c r="S71" s="133"/>
      <c r="T71" s="133"/>
      <c r="AD71" s="112"/>
    </row>
    <row r="72" spans="1:30" s="132" customFormat="1" x14ac:dyDescent="0.3">
      <c r="A72" s="112"/>
      <c r="B72" s="112"/>
      <c r="C72" s="200"/>
      <c r="D72" s="200"/>
      <c r="E72" s="202" t="s">
        <v>325</v>
      </c>
      <c r="F72" s="202" t="s">
        <v>220</v>
      </c>
      <c r="G72" s="203"/>
      <c r="H72" s="202" t="s">
        <v>200</v>
      </c>
      <c r="I72" s="202" t="s">
        <v>199</v>
      </c>
      <c r="J72" s="202"/>
      <c r="K72" s="129"/>
      <c r="L72" s="114"/>
      <c r="M72" s="114"/>
      <c r="N72" s="114"/>
      <c r="O72" s="114"/>
      <c r="P72" s="112"/>
      <c r="Q72" s="133"/>
      <c r="R72" s="133"/>
      <c r="S72" s="133"/>
      <c r="T72" s="133"/>
      <c r="AD72" s="112"/>
    </row>
    <row r="73" spans="1:30" s="132" customFormat="1" x14ac:dyDescent="0.3">
      <c r="A73" s="112"/>
      <c r="B73" s="112"/>
      <c r="C73" s="200"/>
      <c r="D73" s="200"/>
      <c r="E73" s="205">
        <f>IF(E64=0,E70,E64)</f>
        <v>48.410251816780821</v>
      </c>
      <c r="F73" s="202">
        <v>1</v>
      </c>
      <c r="G73" s="203"/>
      <c r="H73" s="205">
        <f>IF(H64=0,H70,H64)</f>
        <v>7716.3470000000007</v>
      </c>
      <c r="I73" s="205">
        <f>IF(J64=0,J70,J64)</f>
        <v>17398.397363356165</v>
      </c>
      <c r="J73" s="202"/>
      <c r="K73" s="129"/>
      <c r="L73" s="114"/>
      <c r="M73" s="114"/>
      <c r="N73" s="114"/>
      <c r="O73" s="114"/>
      <c r="P73" s="112"/>
      <c r="Q73" s="133"/>
      <c r="R73" s="133"/>
      <c r="S73" s="133"/>
      <c r="T73" s="133"/>
      <c r="AD73" s="112"/>
    </row>
    <row r="74" spans="1:30" s="132" customFormat="1" x14ac:dyDescent="0.3">
      <c r="A74" s="112"/>
      <c r="B74" s="112"/>
      <c r="C74" s="200"/>
      <c r="D74" s="200"/>
      <c r="E74" s="205">
        <f>IF(E65=0,E70,E65)</f>
        <v>48.419559816780819</v>
      </c>
      <c r="F74" s="202">
        <v>2</v>
      </c>
      <c r="G74" s="203"/>
      <c r="H74" s="205">
        <f>IF(H65=0,H70,H65)</f>
        <v>7714.4854000000005</v>
      </c>
      <c r="I74" s="205">
        <f>IF(J65=0,J70,J65)</f>
        <v>17398.397363356165</v>
      </c>
      <c r="J74" s="202"/>
      <c r="K74" s="129"/>
      <c r="L74" s="114"/>
      <c r="M74" s="114"/>
      <c r="N74" s="114"/>
      <c r="O74" s="114"/>
      <c r="P74" s="112"/>
      <c r="Q74" s="133"/>
      <c r="R74" s="133"/>
      <c r="S74" s="133"/>
      <c r="T74" s="133"/>
      <c r="AD74" s="112"/>
    </row>
    <row r="75" spans="1:30" s="132" customFormat="1" x14ac:dyDescent="0.3">
      <c r="A75" s="112"/>
      <c r="B75" s="112"/>
      <c r="C75" s="200"/>
      <c r="D75" s="200"/>
      <c r="E75" s="205">
        <f>IF(E66=0,E70,E66)</f>
        <v>47.912319816780816</v>
      </c>
      <c r="F75" s="202">
        <v>3</v>
      </c>
      <c r="G75" s="203"/>
      <c r="H75" s="205">
        <f>IF(H66=0,H70,H66)</f>
        <v>7815.9334000000008</v>
      </c>
      <c r="I75" s="205">
        <f>IF(J66=0,J70,J66)</f>
        <v>17398.397363356165</v>
      </c>
      <c r="J75" s="202"/>
      <c r="K75" s="129"/>
      <c r="L75" s="114"/>
      <c r="M75" s="114"/>
      <c r="N75" s="114"/>
      <c r="O75" s="114"/>
      <c r="P75" s="112"/>
      <c r="Q75" s="133"/>
      <c r="R75" s="133"/>
      <c r="S75" s="133"/>
      <c r="T75" s="133"/>
      <c r="AD75" s="112"/>
    </row>
    <row r="76" spans="1:30" s="132" customFormat="1" x14ac:dyDescent="0.3">
      <c r="A76" s="112"/>
      <c r="B76" s="112"/>
      <c r="C76" s="200"/>
      <c r="D76" s="200"/>
      <c r="E76" s="205">
        <f>IF(E67=0,E70,E67)</f>
        <v>47.224912816780822</v>
      </c>
      <c r="F76" s="202">
        <v>4</v>
      </c>
      <c r="G76" s="203"/>
      <c r="H76" s="205">
        <f>IF(H67=0,H70,H67)</f>
        <v>7953.4148000000005</v>
      </c>
      <c r="I76" s="205">
        <f>IF(J67=0,J70,J67)</f>
        <v>17398.397363356165</v>
      </c>
      <c r="J76" s="202"/>
      <c r="K76" s="129"/>
      <c r="L76" s="114"/>
      <c r="M76" s="114"/>
      <c r="N76" s="114"/>
      <c r="O76" s="114"/>
      <c r="P76" s="112"/>
      <c r="Q76" s="133"/>
      <c r="R76" s="133"/>
      <c r="S76" s="133"/>
      <c r="T76" s="133"/>
      <c r="AD76" s="112"/>
    </row>
    <row r="77" spans="1:30" s="132" customFormat="1" x14ac:dyDescent="0.3">
      <c r="A77" s="112"/>
      <c r="B77" s="112"/>
      <c r="C77" s="200"/>
      <c r="D77" s="200"/>
      <c r="E77" s="205">
        <f>IF(E68=0,E70,E68)</f>
        <v>46.679420614923437</v>
      </c>
      <c r="F77" s="202">
        <v>5</v>
      </c>
      <c r="G77" s="203"/>
      <c r="H77" s="205">
        <f>IF(H68=0,H70,H68)</f>
        <v>8062.5132403714779</v>
      </c>
      <c r="I77" s="205">
        <f>IF(J68=0,J70,J68)</f>
        <v>17398.397363356165</v>
      </c>
      <c r="J77" s="202"/>
      <c r="K77" s="129"/>
      <c r="L77" s="114"/>
      <c r="M77" s="114"/>
      <c r="N77" s="114"/>
      <c r="O77" s="114"/>
      <c r="P77" s="112"/>
      <c r="Q77" s="133"/>
      <c r="R77" s="133"/>
      <c r="S77" s="133"/>
      <c r="T77" s="133"/>
      <c r="AD77" s="112"/>
    </row>
    <row r="78" spans="1:30" s="132" customFormat="1" x14ac:dyDescent="0.3">
      <c r="A78" s="112"/>
      <c r="B78" s="112"/>
      <c r="C78" s="200"/>
      <c r="D78" s="200"/>
      <c r="E78" s="201"/>
      <c r="F78" s="202"/>
      <c r="G78" s="203"/>
      <c r="H78" s="202"/>
      <c r="I78" s="200"/>
      <c r="J78" s="202"/>
      <c r="K78" s="129"/>
      <c r="L78" s="114"/>
      <c r="M78" s="114"/>
      <c r="N78" s="114"/>
      <c r="O78" s="114"/>
      <c r="P78" s="112"/>
      <c r="Q78" s="133"/>
      <c r="R78" s="133"/>
      <c r="S78" s="133"/>
      <c r="T78" s="133"/>
      <c r="AD78" s="112"/>
    </row>
    <row r="79" spans="1:30" s="132" customFormat="1" x14ac:dyDescent="0.3">
      <c r="A79" s="112"/>
      <c r="B79" s="112"/>
      <c r="C79" s="131"/>
      <c r="D79" s="131"/>
      <c r="E79" s="128"/>
      <c r="F79" s="129"/>
      <c r="G79" s="130"/>
      <c r="H79" s="129"/>
      <c r="I79" s="131"/>
      <c r="J79" s="129"/>
      <c r="K79" s="129"/>
      <c r="L79" s="114"/>
      <c r="M79" s="114"/>
      <c r="N79" s="114"/>
      <c r="O79" s="114"/>
      <c r="P79" s="112"/>
      <c r="Q79" s="133"/>
      <c r="R79" s="133"/>
      <c r="S79" s="133"/>
      <c r="T79" s="133"/>
      <c r="AD79" s="112"/>
    </row>
    <row r="80" spans="1:30" s="132" customFormat="1" x14ac:dyDescent="0.3">
      <c r="A80" s="112"/>
      <c r="B80" s="112"/>
      <c r="C80" s="112"/>
      <c r="D80" s="113"/>
      <c r="E80" s="114"/>
      <c r="F80" s="115"/>
      <c r="G80" s="114"/>
      <c r="H80" s="112"/>
      <c r="I80" s="114"/>
      <c r="J80" s="114"/>
      <c r="K80" s="114"/>
      <c r="L80" s="114"/>
      <c r="M80" s="114"/>
      <c r="N80" s="114"/>
      <c r="O80" s="112"/>
      <c r="P80" s="133"/>
      <c r="Q80" s="133"/>
      <c r="R80" s="133"/>
      <c r="S80" s="133"/>
      <c r="AD80" s="112"/>
    </row>
    <row r="81" spans="1:30" s="132" customFormat="1" x14ac:dyDescent="0.3">
      <c r="A81" s="112"/>
      <c r="B81" s="112"/>
      <c r="C81" s="112"/>
      <c r="D81" s="113"/>
      <c r="E81" s="114"/>
      <c r="F81" s="115"/>
      <c r="G81" s="114"/>
      <c r="H81" s="112"/>
      <c r="I81" s="114"/>
      <c r="J81" s="114"/>
      <c r="K81" s="114"/>
      <c r="L81" s="114"/>
      <c r="M81" s="114"/>
      <c r="N81" s="114"/>
      <c r="O81" s="112"/>
      <c r="P81" s="133"/>
      <c r="Q81" s="133"/>
      <c r="R81" s="133"/>
      <c r="S81" s="133"/>
      <c r="AD81" s="112"/>
    </row>
    <row r="82" spans="1:30" x14ac:dyDescent="0.3">
      <c r="A82" s="112"/>
      <c r="B82" s="112"/>
      <c r="C82" s="112"/>
      <c r="D82" s="113"/>
      <c r="E82" s="114"/>
      <c r="F82" s="115"/>
      <c r="G82" s="114"/>
      <c r="H82" s="112"/>
      <c r="I82" s="114"/>
      <c r="J82" s="114"/>
      <c r="K82" s="114"/>
      <c r="L82" s="114"/>
      <c r="M82" s="114"/>
      <c r="N82" s="114"/>
      <c r="O82" s="112"/>
      <c r="P82" s="133"/>
      <c r="Q82" s="133"/>
      <c r="R82" s="133"/>
      <c r="S82" s="133"/>
      <c r="AD82" s="112"/>
    </row>
    <row r="83" spans="1:30" x14ac:dyDescent="0.3">
      <c r="A83" s="112"/>
      <c r="B83" s="112"/>
      <c r="C83" s="112"/>
      <c r="D83" s="113"/>
      <c r="E83" s="114"/>
      <c r="F83" s="115"/>
      <c r="G83" s="114"/>
      <c r="H83" s="112"/>
      <c r="I83" s="114"/>
      <c r="J83" s="114"/>
      <c r="K83" s="114"/>
      <c r="L83" s="114"/>
      <c r="M83" s="114"/>
      <c r="N83" s="114"/>
      <c r="O83" s="112"/>
      <c r="P83" s="133"/>
      <c r="Q83" s="133"/>
      <c r="R83" s="133"/>
      <c r="S83" s="133"/>
      <c r="AD83" s="112"/>
    </row>
    <row r="84" spans="1:30" x14ac:dyDescent="0.3">
      <c r="A84" s="112"/>
      <c r="B84" s="112"/>
      <c r="C84" s="112"/>
      <c r="D84" s="113"/>
      <c r="E84" s="114"/>
      <c r="F84" s="115"/>
      <c r="G84" s="114"/>
      <c r="H84" s="112"/>
      <c r="I84" s="114"/>
      <c r="J84" s="114"/>
      <c r="K84" s="114"/>
      <c r="L84" s="114"/>
      <c r="M84" s="114"/>
      <c r="N84" s="114"/>
      <c r="O84" s="112"/>
      <c r="P84" s="133"/>
      <c r="Q84" s="133"/>
      <c r="R84" s="133"/>
      <c r="S84" s="133"/>
      <c r="AD84" s="112"/>
    </row>
    <row r="85" spans="1:30" x14ac:dyDescent="0.3">
      <c r="A85" s="112"/>
      <c r="B85" s="112"/>
      <c r="C85" s="112"/>
      <c r="D85" s="113"/>
      <c r="E85" s="114"/>
      <c r="F85" s="115"/>
      <c r="G85" s="114"/>
      <c r="H85" s="112"/>
      <c r="I85" s="114"/>
      <c r="J85" s="114"/>
      <c r="K85" s="114"/>
      <c r="L85" s="114"/>
      <c r="M85" s="114"/>
      <c r="N85" s="114"/>
      <c r="O85" s="112"/>
      <c r="P85" s="133"/>
      <c r="Q85" s="133"/>
      <c r="R85" s="133"/>
      <c r="S85" s="133"/>
      <c r="AD85" s="112"/>
    </row>
    <row r="86" spans="1:30" x14ac:dyDescent="0.3">
      <c r="A86" s="112"/>
      <c r="B86" s="112"/>
      <c r="C86" s="112"/>
      <c r="D86" s="113"/>
      <c r="E86" s="114"/>
      <c r="F86" s="115"/>
      <c r="G86" s="114"/>
      <c r="H86" s="112"/>
      <c r="I86" s="114"/>
      <c r="J86" s="114"/>
      <c r="K86" s="114"/>
      <c r="L86" s="114"/>
      <c r="M86" s="114"/>
      <c r="N86" s="114"/>
      <c r="O86" s="112"/>
      <c r="P86" s="133"/>
      <c r="Q86" s="133"/>
      <c r="R86" s="133"/>
      <c r="S86" s="133"/>
      <c r="AD86" s="112"/>
    </row>
    <row r="87" spans="1:30" x14ac:dyDescent="0.3">
      <c r="A87" s="112"/>
      <c r="B87" s="112"/>
      <c r="C87" s="112"/>
      <c r="D87" s="113"/>
      <c r="E87" s="114"/>
      <c r="F87" s="115"/>
      <c r="G87" s="114"/>
      <c r="H87" s="112"/>
      <c r="I87" s="114"/>
      <c r="J87" s="114"/>
      <c r="K87" s="114"/>
      <c r="L87" s="114"/>
      <c r="M87" s="114"/>
      <c r="N87" s="114"/>
      <c r="O87" s="112"/>
      <c r="P87" s="133"/>
      <c r="Q87" s="133"/>
      <c r="R87" s="133"/>
      <c r="S87" s="133"/>
      <c r="AD87" s="112"/>
    </row>
    <row r="88" spans="1:30" x14ac:dyDescent="0.3">
      <c r="A88" s="112"/>
      <c r="B88" s="112"/>
      <c r="C88" s="112"/>
      <c r="D88" s="113"/>
      <c r="E88" s="114"/>
      <c r="F88" s="115"/>
      <c r="G88" s="114"/>
      <c r="H88" s="112"/>
      <c r="I88" s="114"/>
      <c r="J88" s="114"/>
      <c r="K88" s="114"/>
      <c r="L88" s="114"/>
      <c r="M88" s="114"/>
      <c r="N88" s="114"/>
      <c r="O88" s="112"/>
      <c r="P88" s="133"/>
      <c r="Q88" s="133"/>
      <c r="R88" s="133"/>
      <c r="S88" s="133"/>
      <c r="AD88" s="112"/>
    </row>
    <row r="89" spans="1:30" x14ac:dyDescent="0.3">
      <c r="A89" s="112"/>
      <c r="B89" s="112"/>
      <c r="C89" s="112"/>
      <c r="D89" s="113"/>
      <c r="E89" s="114"/>
      <c r="F89" s="115"/>
      <c r="G89" s="114"/>
      <c r="H89" s="112"/>
      <c r="I89" s="114"/>
      <c r="J89" s="114"/>
      <c r="K89" s="114"/>
      <c r="L89" s="114"/>
      <c r="M89" s="114"/>
      <c r="N89" s="114"/>
      <c r="O89" s="112"/>
      <c r="P89" s="133"/>
      <c r="Q89" s="133"/>
      <c r="R89" s="133"/>
      <c r="S89" s="133"/>
      <c r="AD89" s="112"/>
    </row>
    <row r="90" spans="1:30" x14ac:dyDescent="0.3">
      <c r="A90" s="112"/>
      <c r="B90" s="112"/>
      <c r="C90" s="112"/>
      <c r="D90" s="113"/>
      <c r="E90" s="114"/>
      <c r="F90" s="115"/>
      <c r="G90" s="114"/>
      <c r="H90" s="112"/>
      <c r="I90" s="114"/>
      <c r="J90" s="114"/>
      <c r="K90" s="114"/>
      <c r="L90" s="114"/>
      <c r="M90" s="114"/>
      <c r="N90" s="114"/>
      <c r="O90" s="112"/>
      <c r="P90" s="133"/>
      <c r="Q90" s="133"/>
      <c r="R90" s="133"/>
      <c r="S90" s="133"/>
      <c r="AD90" s="112"/>
    </row>
    <row r="91" spans="1:30" x14ac:dyDescent="0.3">
      <c r="A91" s="112"/>
      <c r="B91" s="112"/>
      <c r="C91" s="112"/>
      <c r="D91" s="113"/>
      <c r="E91" s="114"/>
      <c r="F91" s="115"/>
      <c r="G91" s="114"/>
      <c r="H91" s="112"/>
      <c r="I91" s="114"/>
      <c r="J91" s="114"/>
      <c r="K91" s="114"/>
      <c r="L91" s="114"/>
      <c r="M91" s="114"/>
      <c r="N91" s="114"/>
      <c r="O91" s="112"/>
      <c r="P91" s="133"/>
      <c r="Q91" s="133"/>
      <c r="R91" s="133"/>
      <c r="S91" s="133"/>
      <c r="AD91" s="112"/>
    </row>
    <row r="92" spans="1:30" x14ac:dyDescent="0.3">
      <c r="A92" s="112"/>
      <c r="B92" s="112"/>
      <c r="C92" s="112"/>
      <c r="D92" s="113"/>
      <c r="E92" s="114"/>
      <c r="F92" s="115"/>
      <c r="G92" s="114"/>
      <c r="H92" s="112"/>
      <c r="I92" s="114"/>
      <c r="J92" s="114"/>
      <c r="K92" s="114"/>
      <c r="L92" s="114"/>
      <c r="M92" s="114"/>
      <c r="N92" s="114"/>
      <c r="O92" s="112"/>
      <c r="P92" s="133"/>
      <c r="Q92" s="133"/>
      <c r="R92" s="133"/>
      <c r="S92" s="133"/>
      <c r="AD92" s="112"/>
    </row>
    <row r="93" spans="1:30" x14ac:dyDescent="0.3">
      <c r="A93" s="112"/>
      <c r="B93" s="112"/>
      <c r="C93" s="112"/>
      <c r="D93" s="113"/>
      <c r="E93" s="114"/>
      <c r="F93" s="115"/>
      <c r="G93" s="114"/>
      <c r="H93" s="112"/>
      <c r="I93" s="114"/>
      <c r="J93" s="114"/>
      <c r="K93" s="114"/>
      <c r="L93" s="114"/>
      <c r="M93" s="114"/>
      <c r="N93" s="114"/>
      <c r="O93" s="112"/>
      <c r="P93" s="133"/>
      <c r="Q93" s="133"/>
      <c r="R93" s="133"/>
      <c r="S93" s="133"/>
      <c r="AD93" s="112"/>
    </row>
    <row r="94" spans="1:30" x14ac:dyDescent="0.3">
      <c r="A94" s="112"/>
      <c r="B94" s="112"/>
      <c r="C94" s="112"/>
      <c r="D94" s="113"/>
      <c r="E94" s="114"/>
      <c r="F94" s="115"/>
      <c r="G94" s="114"/>
      <c r="H94" s="112"/>
      <c r="I94" s="114"/>
      <c r="J94" s="114"/>
      <c r="K94" s="114"/>
      <c r="L94" s="114"/>
      <c r="M94" s="114"/>
      <c r="N94" s="114"/>
      <c r="O94" s="112"/>
      <c r="P94" s="133"/>
      <c r="Q94" s="133"/>
      <c r="R94" s="133"/>
      <c r="S94" s="133"/>
      <c r="AD94" s="112"/>
    </row>
    <row r="95" spans="1:30" x14ac:dyDescent="0.3">
      <c r="A95" s="112"/>
      <c r="B95" s="112"/>
      <c r="C95" s="112"/>
      <c r="D95" s="113"/>
      <c r="E95" s="114"/>
      <c r="F95" s="115"/>
      <c r="G95" s="114"/>
      <c r="H95" s="112"/>
      <c r="I95" s="114"/>
      <c r="J95" s="114"/>
      <c r="K95" s="114"/>
      <c r="L95" s="114"/>
      <c r="M95" s="114"/>
      <c r="N95" s="114"/>
      <c r="O95" s="112"/>
      <c r="P95" s="133"/>
      <c r="Q95" s="133"/>
      <c r="R95" s="133"/>
      <c r="S95" s="133"/>
      <c r="AD95" s="112"/>
    </row>
    <row r="96" spans="1:30" x14ac:dyDescent="0.3">
      <c r="A96" s="112"/>
      <c r="B96" s="112"/>
      <c r="C96" s="112"/>
      <c r="D96" s="113"/>
      <c r="E96" s="114"/>
      <c r="F96" s="115"/>
      <c r="G96" s="114"/>
      <c r="H96" s="112"/>
      <c r="I96" s="114"/>
      <c r="J96" s="114"/>
      <c r="K96" s="114"/>
      <c r="L96" s="114"/>
      <c r="M96" s="114"/>
      <c r="N96" s="114"/>
      <c r="O96" s="112"/>
      <c r="P96" s="133"/>
      <c r="Q96" s="133"/>
      <c r="R96" s="133"/>
      <c r="S96" s="133"/>
      <c r="AD96" s="112"/>
    </row>
    <row r="97" spans="1:30" x14ac:dyDescent="0.3">
      <c r="A97" s="112"/>
      <c r="B97" s="112"/>
      <c r="C97" s="112"/>
      <c r="D97" s="113"/>
      <c r="E97" s="114"/>
      <c r="F97" s="115"/>
      <c r="G97" s="114"/>
      <c r="H97" s="112"/>
      <c r="I97" s="114"/>
      <c r="J97" s="114"/>
      <c r="K97" s="114"/>
      <c r="L97" s="114"/>
      <c r="M97" s="114"/>
      <c r="N97" s="114"/>
      <c r="O97" s="112"/>
      <c r="P97" s="133"/>
      <c r="Q97" s="133"/>
      <c r="R97" s="133"/>
      <c r="S97" s="133"/>
      <c r="AD97" s="112"/>
    </row>
    <row r="98" spans="1:30" x14ac:dyDescent="0.3">
      <c r="A98" s="112"/>
      <c r="B98" s="112"/>
      <c r="C98" s="112"/>
      <c r="D98" s="113"/>
      <c r="E98" s="114"/>
      <c r="F98" s="115"/>
      <c r="G98" s="114"/>
      <c r="H98" s="112"/>
      <c r="I98" s="114"/>
      <c r="J98" s="114"/>
      <c r="K98" s="114"/>
      <c r="L98" s="114"/>
      <c r="M98" s="114"/>
      <c r="N98" s="114"/>
      <c r="O98" s="112"/>
      <c r="P98" s="133"/>
      <c r="Q98" s="133"/>
      <c r="R98" s="133"/>
      <c r="S98" s="133"/>
      <c r="AD98" s="112"/>
    </row>
    <row r="99" spans="1:30" x14ac:dyDescent="0.3">
      <c r="A99" s="112"/>
      <c r="B99" s="112"/>
      <c r="C99" s="112"/>
      <c r="D99" s="113"/>
      <c r="E99" s="114"/>
      <c r="F99" s="115"/>
      <c r="G99" s="114"/>
      <c r="H99" s="112"/>
      <c r="I99" s="114"/>
      <c r="J99" s="114"/>
      <c r="K99" s="114"/>
      <c r="L99" s="114"/>
      <c r="M99" s="114"/>
      <c r="N99" s="114"/>
      <c r="O99" s="112"/>
      <c r="P99" s="133"/>
      <c r="Q99" s="133"/>
      <c r="R99" s="133"/>
      <c r="S99" s="133"/>
      <c r="AD99" s="112"/>
    </row>
    <row r="100" spans="1:30" x14ac:dyDescent="0.3">
      <c r="A100" s="112"/>
      <c r="B100" s="112"/>
      <c r="C100" s="112"/>
      <c r="D100" s="113"/>
      <c r="E100" s="114"/>
      <c r="F100" s="115"/>
      <c r="G100" s="114"/>
      <c r="H100" s="112"/>
      <c r="I100" s="114"/>
      <c r="J100" s="114"/>
      <c r="K100" s="114"/>
      <c r="L100" s="114"/>
      <c r="M100" s="114"/>
      <c r="N100" s="114"/>
      <c r="O100" s="112"/>
      <c r="P100" s="133"/>
      <c r="Q100" s="133"/>
      <c r="R100" s="133"/>
      <c r="S100" s="133"/>
      <c r="AD100" s="112"/>
    </row>
    <row r="101" spans="1:30" x14ac:dyDescent="0.3">
      <c r="A101" s="112"/>
      <c r="B101" s="112"/>
      <c r="C101" s="112"/>
      <c r="D101" s="113"/>
      <c r="E101" s="114"/>
      <c r="F101" s="115"/>
      <c r="G101" s="114"/>
      <c r="H101" s="112"/>
      <c r="I101" s="114"/>
      <c r="J101" s="114"/>
      <c r="K101" s="114"/>
      <c r="L101" s="114"/>
      <c r="M101" s="114"/>
      <c r="N101" s="114"/>
      <c r="O101" s="112"/>
      <c r="P101" s="133"/>
      <c r="Q101" s="133"/>
      <c r="R101" s="133"/>
      <c r="S101" s="133"/>
      <c r="AD101" s="112"/>
    </row>
    <row r="102" spans="1:30" x14ac:dyDescent="0.3">
      <c r="A102" s="112"/>
      <c r="B102" s="112"/>
      <c r="C102" s="112"/>
      <c r="D102" s="113"/>
      <c r="E102" s="114"/>
      <c r="F102" s="115"/>
      <c r="G102" s="114"/>
      <c r="H102" s="112"/>
      <c r="I102" s="114"/>
      <c r="J102" s="114"/>
      <c r="K102" s="114"/>
      <c r="L102" s="114"/>
      <c r="M102" s="114"/>
      <c r="N102" s="114"/>
      <c r="O102" s="112"/>
      <c r="P102" s="133"/>
      <c r="Q102" s="133"/>
      <c r="R102" s="133"/>
      <c r="S102" s="133"/>
      <c r="AD102" s="112"/>
    </row>
    <row r="103" spans="1:30" x14ac:dyDescent="0.3">
      <c r="A103" s="112"/>
      <c r="B103" s="112"/>
      <c r="C103" s="112"/>
      <c r="D103" s="113"/>
      <c r="E103" s="114"/>
      <c r="F103" s="115"/>
      <c r="G103" s="114"/>
      <c r="H103" s="112"/>
      <c r="I103" s="114"/>
      <c r="J103" s="114"/>
      <c r="K103" s="114"/>
      <c r="L103" s="114"/>
      <c r="M103" s="114"/>
      <c r="N103" s="114"/>
      <c r="O103" s="112"/>
      <c r="P103" s="133"/>
      <c r="Q103" s="133"/>
      <c r="R103" s="133"/>
      <c r="S103" s="133"/>
      <c r="AD103" s="112"/>
    </row>
    <row r="104" spans="1:30" x14ac:dyDescent="0.3">
      <c r="A104" s="112"/>
      <c r="B104" s="112"/>
      <c r="C104" s="112"/>
      <c r="D104" s="113"/>
      <c r="E104" s="114"/>
      <c r="F104" s="115"/>
      <c r="G104" s="114"/>
      <c r="H104" s="112"/>
      <c r="I104" s="114"/>
      <c r="J104" s="114"/>
      <c r="K104" s="114"/>
      <c r="L104" s="114"/>
      <c r="M104" s="114"/>
      <c r="N104" s="114"/>
      <c r="O104" s="112"/>
      <c r="P104" s="133"/>
      <c r="Q104" s="133"/>
      <c r="R104" s="133"/>
      <c r="S104" s="133"/>
      <c r="AD104" s="112"/>
    </row>
    <row r="105" spans="1:30" x14ac:dyDescent="0.3">
      <c r="A105" s="112"/>
      <c r="B105" s="112"/>
      <c r="C105" s="112"/>
      <c r="D105" s="113"/>
      <c r="E105" s="114"/>
      <c r="F105" s="115"/>
      <c r="G105" s="114"/>
      <c r="H105" s="112"/>
      <c r="I105" s="114"/>
      <c r="J105" s="114"/>
      <c r="K105" s="114"/>
      <c r="L105" s="114"/>
      <c r="M105" s="114"/>
      <c r="N105" s="114"/>
      <c r="O105" s="112"/>
      <c r="P105" s="133"/>
      <c r="Q105" s="133"/>
      <c r="R105" s="133"/>
      <c r="S105" s="133"/>
      <c r="AD105" s="112"/>
    </row>
    <row r="106" spans="1:30" x14ac:dyDescent="0.3">
      <c r="A106" s="112"/>
      <c r="B106" s="112"/>
      <c r="C106" s="112"/>
      <c r="D106" s="113"/>
      <c r="E106" s="114"/>
      <c r="F106" s="115"/>
      <c r="G106" s="114"/>
      <c r="H106" s="112"/>
      <c r="I106" s="114"/>
      <c r="J106" s="114"/>
      <c r="K106" s="114"/>
      <c r="L106" s="114"/>
      <c r="M106" s="114"/>
      <c r="N106" s="114"/>
      <c r="O106" s="112"/>
      <c r="P106" s="133"/>
      <c r="Q106" s="133"/>
      <c r="R106" s="133"/>
      <c r="S106" s="133"/>
      <c r="AD106" s="112"/>
    </row>
    <row r="107" spans="1:30" x14ac:dyDescent="0.3">
      <c r="A107" s="112"/>
      <c r="B107" s="112"/>
      <c r="C107" s="112"/>
      <c r="D107" s="113"/>
      <c r="E107" s="114"/>
      <c r="F107" s="115"/>
      <c r="G107" s="114"/>
      <c r="H107" s="112"/>
      <c r="I107" s="114"/>
      <c r="J107" s="114"/>
      <c r="K107" s="114"/>
      <c r="L107" s="114"/>
      <c r="M107" s="114"/>
      <c r="N107" s="114"/>
      <c r="O107" s="112"/>
      <c r="P107" s="133"/>
      <c r="Q107" s="133"/>
      <c r="R107" s="133"/>
      <c r="S107" s="133"/>
      <c r="AD107" s="112"/>
    </row>
    <row r="108" spans="1:30" x14ac:dyDescent="0.3">
      <c r="A108" s="112"/>
      <c r="B108" s="112"/>
      <c r="C108" s="112"/>
      <c r="D108" s="113"/>
      <c r="E108" s="114"/>
      <c r="F108" s="115"/>
      <c r="G108" s="114"/>
      <c r="H108" s="112"/>
      <c r="I108" s="114"/>
      <c r="J108" s="114"/>
      <c r="K108" s="114"/>
      <c r="L108" s="114"/>
      <c r="M108" s="114"/>
      <c r="N108" s="114"/>
      <c r="O108" s="112"/>
      <c r="P108" s="133"/>
      <c r="Q108" s="133"/>
      <c r="R108" s="133"/>
      <c r="S108" s="133"/>
      <c r="AD108" s="112"/>
    </row>
    <row r="109" spans="1:30" x14ac:dyDescent="0.3">
      <c r="A109" s="112"/>
      <c r="B109" s="112"/>
      <c r="C109" s="112"/>
      <c r="D109" s="113"/>
      <c r="E109" s="114"/>
      <c r="F109" s="115"/>
      <c r="G109" s="114"/>
      <c r="H109" s="112"/>
      <c r="I109" s="114"/>
      <c r="J109" s="114"/>
      <c r="K109" s="114"/>
      <c r="L109" s="114"/>
      <c r="M109" s="114"/>
      <c r="N109" s="114"/>
      <c r="O109" s="112"/>
      <c r="P109" s="133"/>
      <c r="Q109" s="133"/>
      <c r="R109" s="133"/>
      <c r="S109" s="133"/>
      <c r="AD109" s="112"/>
    </row>
    <row r="110" spans="1:30" x14ac:dyDescent="0.3">
      <c r="A110" s="112"/>
      <c r="B110" s="112"/>
      <c r="C110" s="112"/>
      <c r="D110" s="113"/>
      <c r="E110" s="114"/>
      <c r="F110" s="115"/>
      <c r="G110" s="114"/>
      <c r="H110" s="112"/>
      <c r="I110" s="114"/>
      <c r="J110" s="114"/>
      <c r="K110" s="114"/>
      <c r="L110" s="114"/>
      <c r="M110" s="114"/>
      <c r="N110" s="114"/>
      <c r="O110" s="112"/>
      <c r="P110" s="133"/>
      <c r="Q110" s="133"/>
      <c r="R110" s="133"/>
      <c r="S110" s="133"/>
      <c r="AD110" s="112"/>
    </row>
    <row r="111" spans="1:30" x14ac:dyDescent="0.3">
      <c r="A111" s="112"/>
      <c r="B111" s="112"/>
      <c r="C111" s="112"/>
      <c r="D111" s="113"/>
      <c r="E111" s="114"/>
      <c r="F111" s="115"/>
      <c r="G111" s="114"/>
      <c r="H111" s="112"/>
      <c r="I111" s="114"/>
      <c r="J111" s="114"/>
      <c r="K111" s="114"/>
      <c r="L111" s="114"/>
      <c r="M111" s="114"/>
      <c r="N111" s="114"/>
      <c r="O111" s="112"/>
      <c r="P111" s="133"/>
      <c r="Q111" s="133"/>
      <c r="R111" s="133"/>
      <c r="S111" s="133"/>
      <c r="AD111" s="112"/>
    </row>
    <row r="112" spans="1:30" x14ac:dyDescent="0.3">
      <c r="A112" s="112"/>
      <c r="B112" s="112"/>
      <c r="C112" s="112"/>
      <c r="D112" s="113"/>
      <c r="E112" s="114"/>
      <c r="F112" s="115"/>
      <c r="G112" s="114"/>
      <c r="H112" s="112"/>
      <c r="I112" s="114"/>
      <c r="J112" s="114"/>
      <c r="K112" s="114"/>
      <c r="L112" s="114"/>
      <c r="M112" s="114"/>
      <c r="N112" s="114"/>
      <c r="O112" s="112"/>
      <c r="P112" s="133"/>
      <c r="Q112" s="133"/>
      <c r="R112" s="133"/>
      <c r="S112" s="133"/>
      <c r="AD112" s="112"/>
    </row>
    <row r="113" spans="1:30" x14ac:dyDescent="0.3">
      <c r="A113" s="112"/>
      <c r="B113" s="112"/>
      <c r="C113" s="112"/>
      <c r="D113" s="113"/>
      <c r="E113" s="114"/>
      <c r="F113" s="115"/>
      <c r="G113" s="114"/>
      <c r="H113" s="112"/>
      <c r="I113" s="114"/>
      <c r="J113" s="114"/>
      <c r="K113" s="114"/>
      <c r="L113" s="114"/>
      <c r="M113" s="114"/>
      <c r="N113" s="114"/>
      <c r="O113" s="112"/>
      <c r="P113" s="133"/>
      <c r="Q113" s="133"/>
      <c r="R113" s="133"/>
      <c r="S113" s="133"/>
      <c r="AD113" s="112"/>
    </row>
    <row r="114" spans="1:30" x14ac:dyDescent="0.3">
      <c r="A114" s="112"/>
      <c r="B114" s="112"/>
      <c r="C114" s="112"/>
      <c r="D114" s="113"/>
      <c r="E114" s="114"/>
      <c r="F114" s="115"/>
      <c r="G114" s="114"/>
      <c r="H114" s="112"/>
      <c r="I114" s="114"/>
      <c r="J114" s="114"/>
      <c r="K114" s="114"/>
      <c r="L114" s="114"/>
      <c r="M114" s="114"/>
      <c r="N114" s="114"/>
      <c r="O114" s="112"/>
      <c r="P114" s="133"/>
      <c r="Q114" s="133"/>
      <c r="R114" s="133"/>
      <c r="S114" s="133"/>
      <c r="AD114" s="112"/>
    </row>
    <row r="115" spans="1:30" x14ac:dyDescent="0.3">
      <c r="A115" s="112"/>
      <c r="B115" s="112"/>
      <c r="C115" s="112"/>
      <c r="D115" s="113"/>
      <c r="E115" s="114"/>
      <c r="F115" s="115"/>
      <c r="G115" s="114"/>
      <c r="H115" s="112"/>
      <c r="I115" s="114"/>
      <c r="J115" s="114"/>
      <c r="K115" s="114"/>
      <c r="L115" s="114"/>
      <c r="M115" s="114"/>
      <c r="N115" s="114"/>
      <c r="O115" s="112"/>
      <c r="P115" s="133"/>
      <c r="Q115" s="133"/>
      <c r="R115" s="133"/>
      <c r="S115" s="133"/>
      <c r="AD115" s="112"/>
    </row>
    <row r="116" spans="1:30" x14ac:dyDescent="0.3">
      <c r="A116" s="112"/>
      <c r="B116" s="112"/>
      <c r="C116" s="112"/>
      <c r="D116" s="113"/>
      <c r="E116" s="114"/>
      <c r="F116" s="115"/>
      <c r="G116" s="114"/>
      <c r="H116" s="112"/>
      <c r="I116" s="114"/>
      <c r="J116" s="114"/>
      <c r="K116" s="114"/>
      <c r="L116" s="114"/>
      <c r="M116" s="114"/>
      <c r="N116" s="114"/>
      <c r="O116" s="112"/>
      <c r="P116" s="133"/>
      <c r="Q116" s="133"/>
      <c r="R116" s="133"/>
      <c r="S116" s="133"/>
      <c r="AD116" s="112"/>
    </row>
    <row r="117" spans="1:30" x14ac:dyDescent="0.3">
      <c r="A117" s="112"/>
      <c r="B117" s="112"/>
      <c r="C117" s="112"/>
      <c r="D117" s="113"/>
      <c r="E117" s="114"/>
      <c r="F117" s="115"/>
      <c r="G117" s="114"/>
      <c r="H117" s="112"/>
      <c r="I117" s="114"/>
      <c r="J117" s="114"/>
      <c r="K117" s="114"/>
      <c r="L117" s="114"/>
      <c r="M117" s="114"/>
      <c r="N117" s="114"/>
      <c r="O117" s="112"/>
      <c r="P117" s="133"/>
      <c r="Q117" s="133"/>
      <c r="R117" s="133"/>
      <c r="S117" s="133"/>
      <c r="AD117" s="112"/>
    </row>
    <row r="118" spans="1:30" x14ac:dyDescent="0.3">
      <c r="A118" s="112"/>
      <c r="B118" s="112"/>
      <c r="C118" s="112"/>
      <c r="D118" s="113"/>
      <c r="E118" s="114"/>
      <c r="F118" s="115"/>
      <c r="G118" s="114"/>
      <c r="H118" s="112"/>
      <c r="I118" s="114"/>
      <c r="J118" s="114"/>
      <c r="K118" s="114"/>
      <c r="L118" s="114"/>
      <c r="M118" s="114"/>
      <c r="N118" s="114"/>
      <c r="O118" s="112"/>
      <c r="P118" s="133"/>
      <c r="Q118" s="133"/>
      <c r="R118" s="133"/>
      <c r="S118" s="133"/>
      <c r="AD118" s="112"/>
    </row>
    <row r="119" spans="1:30" x14ac:dyDescent="0.3">
      <c r="A119" s="112"/>
      <c r="B119" s="112"/>
      <c r="C119" s="112"/>
      <c r="D119" s="113"/>
      <c r="E119" s="114"/>
      <c r="F119" s="115"/>
      <c r="G119" s="114"/>
      <c r="H119" s="112"/>
      <c r="I119" s="114"/>
      <c r="J119" s="114"/>
      <c r="K119" s="114"/>
      <c r="L119" s="114"/>
      <c r="M119" s="114"/>
      <c r="N119" s="114"/>
      <c r="O119" s="112"/>
      <c r="P119" s="133"/>
      <c r="Q119" s="133"/>
      <c r="R119" s="133"/>
      <c r="S119" s="133"/>
      <c r="AD119" s="112"/>
    </row>
    <row r="120" spans="1:30" x14ac:dyDescent="0.3">
      <c r="A120" s="112"/>
      <c r="B120" s="112"/>
      <c r="C120" s="112"/>
      <c r="D120" s="113"/>
      <c r="E120" s="114"/>
      <c r="F120" s="115"/>
      <c r="G120" s="114"/>
      <c r="H120" s="112"/>
      <c r="I120" s="114"/>
      <c r="J120" s="114"/>
      <c r="K120" s="114"/>
      <c r="L120" s="114"/>
      <c r="M120" s="114"/>
      <c r="N120" s="114"/>
      <c r="O120" s="112"/>
      <c r="P120" s="133"/>
      <c r="Q120" s="133"/>
      <c r="R120" s="133"/>
      <c r="S120" s="133"/>
      <c r="AD120" s="112"/>
    </row>
    <row r="121" spans="1:30" x14ac:dyDescent="0.3">
      <c r="A121" s="112"/>
      <c r="B121" s="112"/>
      <c r="C121" s="112"/>
      <c r="D121" s="113"/>
      <c r="E121" s="114"/>
      <c r="F121" s="115"/>
      <c r="G121" s="114"/>
      <c r="H121" s="112"/>
      <c r="I121" s="114"/>
      <c r="J121" s="114"/>
      <c r="K121" s="114"/>
      <c r="L121" s="114"/>
      <c r="M121" s="114"/>
      <c r="N121" s="114"/>
      <c r="O121" s="112"/>
      <c r="P121" s="133"/>
      <c r="Q121" s="133"/>
      <c r="R121" s="133"/>
      <c r="S121" s="133"/>
      <c r="AD121" s="112"/>
    </row>
    <row r="122" spans="1:30" x14ac:dyDescent="0.3">
      <c r="A122" s="112"/>
      <c r="B122" s="112"/>
      <c r="C122" s="112"/>
      <c r="D122" s="113"/>
      <c r="E122" s="114"/>
      <c r="F122" s="115"/>
      <c r="G122" s="114"/>
      <c r="H122" s="112"/>
      <c r="I122" s="114"/>
      <c r="J122" s="114"/>
      <c r="K122" s="114"/>
      <c r="L122" s="114"/>
      <c r="M122" s="114"/>
      <c r="N122" s="114"/>
      <c r="O122" s="112"/>
      <c r="P122" s="133"/>
      <c r="Q122" s="133"/>
      <c r="R122" s="133"/>
      <c r="S122" s="133"/>
      <c r="AD122" s="112"/>
    </row>
    <row r="123" spans="1:30" x14ac:dyDescent="0.3">
      <c r="A123" s="112"/>
      <c r="B123" s="112"/>
      <c r="C123" s="112"/>
      <c r="D123" s="113"/>
      <c r="E123" s="114"/>
      <c r="F123" s="115"/>
      <c r="G123" s="114"/>
      <c r="H123" s="112"/>
      <c r="I123" s="114"/>
      <c r="J123" s="114"/>
      <c r="K123" s="114"/>
      <c r="L123" s="114"/>
      <c r="M123" s="114"/>
      <c r="N123" s="114"/>
      <c r="O123" s="112"/>
      <c r="P123" s="133"/>
      <c r="Q123" s="133"/>
      <c r="R123" s="133"/>
      <c r="S123" s="133"/>
      <c r="AD123" s="112"/>
    </row>
    <row r="124" spans="1:30" x14ac:dyDescent="0.3">
      <c r="A124" s="112"/>
      <c r="B124" s="112"/>
      <c r="C124" s="112"/>
      <c r="D124" s="113"/>
      <c r="E124" s="114"/>
      <c r="F124" s="115"/>
      <c r="G124" s="114"/>
      <c r="H124" s="112"/>
      <c r="I124" s="114"/>
      <c r="J124" s="114"/>
      <c r="K124" s="114"/>
      <c r="L124" s="114"/>
      <c r="M124" s="114"/>
      <c r="N124" s="114"/>
      <c r="O124" s="112"/>
      <c r="P124" s="133"/>
      <c r="Q124" s="133"/>
      <c r="R124" s="133"/>
      <c r="S124" s="133"/>
      <c r="AD124" s="112"/>
    </row>
    <row r="125" spans="1:30" x14ac:dyDescent="0.3">
      <c r="A125" s="112"/>
      <c r="B125" s="112"/>
      <c r="C125" s="112"/>
      <c r="D125" s="113"/>
      <c r="E125" s="114"/>
      <c r="F125" s="115"/>
      <c r="G125" s="114"/>
      <c r="H125" s="112"/>
      <c r="I125" s="114"/>
      <c r="J125" s="114"/>
      <c r="K125" s="114"/>
      <c r="L125" s="114"/>
      <c r="M125" s="114"/>
      <c r="N125" s="114"/>
      <c r="O125" s="112"/>
      <c r="P125" s="133"/>
      <c r="Q125" s="133"/>
      <c r="R125" s="133"/>
      <c r="S125" s="133"/>
      <c r="AD125" s="112"/>
    </row>
    <row r="126" spans="1:30" x14ac:dyDescent="0.3">
      <c r="A126" s="112"/>
      <c r="B126" s="112"/>
      <c r="C126" s="112"/>
      <c r="D126" s="113"/>
      <c r="E126" s="114"/>
      <c r="F126" s="115"/>
      <c r="G126" s="114"/>
      <c r="H126" s="112"/>
      <c r="I126" s="114"/>
      <c r="J126" s="114"/>
      <c r="K126" s="114"/>
      <c r="L126" s="114"/>
      <c r="M126" s="114"/>
      <c r="N126" s="114"/>
      <c r="O126" s="112"/>
      <c r="P126" s="133"/>
      <c r="Q126" s="133"/>
      <c r="R126" s="133"/>
      <c r="S126" s="133"/>
      <c r="AD126" s="112"/>
    </row>
    <row r="127" spans="1:30" x14ac:dyDescent="0.3">
      <c r="A127" s="112"/>
      <c r="B127" s="112"/>
      <c r="C127" s="112"/>
      <c r="D127" s="113"/>
      <c r="E127" s="114"/>
      <c r="F127" s="115"/>
      <c r="G127" s="114"/>
      <c r="H127" s="112"/>
      <c r="I127" s="114"/>
      <c r="J127" s="114"/>
      <c r="K127" s="114"/>
      <c r="L127" s="114"/>
      <c r="M127" s="114"/>
      <c r="N127" s="114"/>
      <c r="O127" s="112"/>
      <c r="P127" s="133"/>
      <c r="Q127" s="133"/>
      <c r="R127" s="133"/>
      <c r="S127" s="133"/>
      <c r="AD127" s="112"/>
    </row>
    <row r="128" spans="1:30" x14ac:dyDescent="0.3">
      <c r="A128" s="112"/>
      <c r="B128" s="112"/>
      <c r="C128" s="112"/>
      <c r="D128" s="113"/>
      <c r="E128" s="114"/>
      <c r="F128" s="115"/>
      <c r="G128" s="114"/>
      <c r="H128" s="112"/>
      <c r="I128" s="114"/>
      <c r="J128" s="114"/>
      <c r="K128" s="114"/>
      <c r="L128" s="114"/>
      <c r="M128" s="114"/>
      <c r="N128" s="114"/>
      <c r="O128" s="112"/>
      <c r="P128" s="133"/>
      <c r="Q128" s="133"/>
      <c r="R128" s="133"/>
      <c r="S128" s="133"/>
      <c r="AD128" s="112"/>
    </row>
    <row r="129" spans="1:30" x14ac:dyDescent="0.3">
      <c r="A129" s="112"/>
      <c r="B129" s="112"/>
      <c r="C129" s="112"/>
      <c r="D129" s="113"/>
      <c r="E129" s="114"/>
      <c r="F129" s="115"/>
      <c r="G129" s="114"/>
      <c r="H129" s="112"/>
      <c r="I129" s="114"/>
      <c r="J129" s="114"/>
      <c r="K129" s="114"/>
      <c r="L129" s="114"/>
      <c r="M129" s="114"/>
      <c r="N129" s="114"/>
      <c r="O129" s="112"/>
      <c r="P129" s="133"/>
      <c r="Q129" s="133"/>
      <c r="R129" s="133"/>
      <c r="S129" s="133"/>
      <c r="AD129" s="112"/>
    </row>
    <row r="130" spans="1:30" x14ac:dyDescent="0.3">
      <c r="A130" s="112"/>
      <c r="B130" s="112"/>
      <c r="C130" s="112"/>
      <c r="D130" s="113"/>
      <c r="E130" s="114"/>
      <c r="F130" s="115"/>
      <c r="G130" s="114"/>
      <c r="H130" s="112"/>
      <c r="I130" s="114"/>
      <c r="J130" s="114"/>
      <c r="K130" s="114"/>
      <c r="L130" s="114"/>
      <c r="M130" s="114"/>
      <c r="N130" s="114"/>
      <c r="O130" s="112"/>
      <c r="P130" s="133"/>
      <c r="Q130" s="133"/>
      <c r="R130" s="133"/>
      <c r="S130" s="133"/>
      <c r="AD130" s="112"/>
    </row>
    <row r="131" spans="1:30" x14ac:dyDescent="0.3">
      <c r="A131" s="112"/>
      <c r="B131" s="112"/>
      <c r="C131" s="112"/>
      <c r="D131" s="113"/>
      <c r="E131" s="114"/>
      <c r="F131" s="115"/>
      <c r="G131" s="114"/>
      <c r="H131" s="112"/>
      <c r="I131" s="114"/>
      <c r="J131" s="114"/>
      <c r="K131" s="114"/>
      <c r="L131" s="114"/>
      <c r="M131" s="114"/>
      <c r="N131" s="114"/>
      <c r="O131" s="112"/>
      <c r="P131" s="133"/>
      <c r="Q131" s="133"/>
      <c r="R131" s="133"/>
      <c r="S131" s="133"/>
      <c r="AD131" s="112"/>
    </row>
    <row r="132" spans="1:30" x14ac:dyDescent="0.3">
      <c r="A132" s="112"/>
      <c r="B132" s="112"/>
      <c r="C132" s="112"/>
      <c r="D132" s="113"/>
      <c r="E132" s="114"/>
      <c r="F132" s="115"/>
      <c r="G132" s="114"/>
      <c r="H132" s="112"/>
      <c r="I132" s="114"/>
      <c r="J132" s="114"/>
      <c r="K132" s="114"/>
      <c r="L132" s="114"/>
      <c r="M132" s="114"/>
      <c r="N132" s="114"/>
      <c r="O132" s="112"/>
      <c r="P132" s="133"/>
      <c r="Q132" s="133"/>
      <c r="R132" s="133"/>
      <c r="S132" s="133"/>
      <c r="AD132" s="112"/>
    </row>
    <row r="133" spans="1:30" x14ac:dyDescent="0.3">
      <c r="A133" s="112"/>
      <c r="B133" s="112"/>
      <c r="C133" s="112"/>
      <c r="D133" s="113"/>
      <c r="E133" s="114"/>
      <c r="F133" s="115"/>
      <c r="G133" s="114"/>
      <c r="H133" s="112"/>
      <c r="I133" s="114"/>
      <c r="J133" s="114"/>
      <c r="K133" s="114"/>
      <c r="L133" s="114"/>
      <c r="M133" s="114"/>
      <c r="N133" s="114"/>
      <c r="O133" s="112"/>
      <c r="P133" s="133"/>
      <c r="Q133" s="133"/>
      <c r="R133" s="133"/>
      <c r="S133" s="133"/>
      <c r="AD133" s="112"/>
    </row>
    <row r="134" spans="1:30" x14ac:dyDescent="0.3">
      <c r="A134" s="112"/>
      <c r="B134" s="112"/>
      <c r="C134" s="112"/>
      <c r="D134" s="113"/>
      <c r="E134" s="114"/>
      <c r="F134" s="115"/>
      <c r="G134" s="114"/>
      <c r="H134" s="112"/>
      <c r="I134" s="114"/>
      <c r="J134" s="114"/>
      <c r="K134" s="114"/>
      <c r="L134" s="114"/>
      <c r="M134" s="114"/>
      <c r="N134" s="114"/>
      <c r="O134" s="112"/>
      <c r="P134" s="133"/>
      <c r="Q134" s="133"/>
      <c r="R134" s="133"/>
      <c r="S134" s="133"/>
      <c r="AD134" s="112"/>
    </row>
    <row r="135" spans="1:30" x14ac:dyDescent="0.3">
      <c r="A135" s="112"/>
      <c r="B135" s="112"/>
      <c r="C135" s="112"/>
      <c r="D135" s="113"/>
      <c r="E135" s="114"/>
      <c r="F135" s="115"/>
      <c r="G135" s="114"/>
      <c r="H135" s="112"/>
      <c r="I135" s="114"/>
      <c r="J135" s="114"/>
      <c r="K135" s="114"/>
      <c r="L135" s="114"/>
      <c r="M135" s="114"/>
      <c r="N135" s="114"/>
      <c r="O135" s="112"/>
      <c r="P135" s="133"/>
      <c r="Q135" s="133"/>
      <c r="R135" s="133"/>
      <c r="S135" s="133"/>
      <c r="AD135" s="112"/>
    </row>
    <row r="136" spans="1:30" x14ac:dyDescent="0.3">
      <c r="A136" s="112"/>
      <c r="B136" s="112"/>
      <c r="C136" s="112"/>
      <c r="D136" s="113"/>
      <c r="E136" s="114"/>
      <c r="F136" s="115"/>
      <c r="G136" s="114"/>
      <c r="H136" s="112"/>
      <c r="I136" s="114"/>
      <c r="J136" s="114"/>
      <c r="K136" s="114"/>
      <c r="L136" s="114"/>
      <c r="M136" s="114"/>
      <c r="N136" s="114"/>
      <c r="O136" s="112"/>
      <c r="P136" s="133"/>
      <c r="Q136" s="133"/>
      <c r="R136" s="133"/>
      <c r="S136" s="133"/>
      <c r="AD136" s="112"/>
    </row>
    <row r="137" spans="1:30" x14ac:dyDescent="0.3">
      <c r="A137" s="112"/>
      <c r="B137" s="112"/>
      <c r="C137" s="112"/>
      <c r="D137" s="113"/>
      <c r="E137" s="114"/>
      <c r="F137" s="115"/>
      <c r="G137" s="114"/>
      <c r="H137" s="112"/>
      <c r="I137" s="114"/>
      <c r="J137" s="114"/>
      <c r="K137" s="114"/>
      <c r="L137" s="114"/>
      <c r="M137" s="114"/>
      <c r="N137" s="114"/>
      <c r="O137" s="112"/>
      <c r="P137" s="133"/>
      <c r="Q137" s="133"/>
      <c r="R137" s="133"/>
      <c r="S137" s="133"/>
      <c r="AD137" s="112"/>
    </row>
    <row r="138" spans="1:30" x14ac:dyDescent="0.3">
      <c r="A138" s="112"/>
      <c r="B138" s="112"/>
      <c r="C138" s="112"/>
      <c r="D138" s="113"/>
      <c r="E138" s="114"/>
      <c r="F138" s="115"/>
      <c r="G138" s="114"/>
      <c r="H138" s="112"/>
      <c r="I138" s="114"/>
      <c r="J138" s="114"/>
      <c r="K138" s="114"/>
      <c r="L138" s="114"/>
      <c r="M138" s="114"/>
      <c r="N138" s="114"/>
      <c r="O138" s="112"/>
      <c r="P138" s="133"/>
      <c r="Q138" s="133"/>
      <c r="R138" s="133"/>
      <c r="S138" s="133"/>
      <c r="AD138" s="112"/>
    </row>
    <row r="139" spans="1:30" x14ac:dyDescent="0.3">
      <c r="A139" s="112"/>
      <c r="B139" s="112"/>
      <c r="C139" s="112"/>
      <c r="D139" s="113"/>
      <c r="E139" s="114"/>
      <c r="F139" s="115"/>
      <c r="G139" s="114"/>
      <c r="H139" s="112"/>
      <c r="I139" s="114"/>
      <c r="J139" s="114"/>
      <c r="K139" s="114"/>
      <c r="L139" s="114"/>
      <c r="M139" s="114"/>
      <c r="N139" s="114"/>
      <c r="O139" s="112"/>
      <c r="P139" s="133"/>
      <c r="Q139" s="133"/>
      <c r="R139" s="133"/>
      <c r="S139" s="133"/>
      <c r="AD139" s="112"/>
    </row>
    <row r="140" spans="1:30" x14ac:dyDescent="0.3">
      <c r="A140" s="112"/>
      <c r="B140" s="112"/>
      <c r="C140" s="112"/>
      <c r="D140" s="113"/>
      <c r="E140" s="114"/>
      <c r="F140" s="115"/>
      <c r="G140" s="114"/>
      <c r="H140" s="112"/>
      <c r="I140" s="114"/>
      <c r="J140" s="114"/>
      <c r="K140" s="114"/>
      <c r="L140" s="114"/>
      <c r="M140" s="114"/>
      <c r="N140" s="114"/>
      <c r="O140" s="112"/>
      <c r="P140" s="133"/>
      <c r="Q140" s="133"/>
      <c r="R140" s="133"/>
      <c r="S140" s="133"/>
      <c r="AD140" s="112"/>
    </row>
    <row r="141" spans="1:30" x14ac:dyDescent="0.3">
      <c r="A141" s="112"/>
      <c r="B141" s="112"/>
      <c r="C141" s="112"/>
      <c r="D141" s="113"/>
      <c r="E141" s="114"/>
      <c r="F141" s="115"/>
      <c r="G141" s="114"/>
      <c r="H141" s="112"/>
      <c r="I141" s="114"/>
      <c r="J141" s="114"/>
      <c r="K141" s="114"/>
      <c r="L141" s="114"/>
      <c r="M141" s="114"/>
      <c r="N141" s="114"/>
      <c r="O141" s="112"/>
      <c r="P141" s="133"/>
      <c r="Q141" s="133"/>
      <c r="R141" s="133"/>
      <c r="S141" s="133"/>
      <c r="AD141" s="112"/>
    </row>
    <row r="142" spans="1:30" x14ac:dyDescent="0.3">
      <c r="A142" s="112"/>
      <c r="B142" s="112"/>
      <c r="C142" s="112"/>
      <c r="D142" s="113"/>
      <c r="E142" s="114"/>
      <c r="F142" s="115"/>
      <c r="G142" s="114"/>
      <c r="H142" s="112"/>
      <c r="I142" s="114"/>
      <c r="J142" s="114"/>
      <c r="K142" s="114"/>
      <c r="L142" s="114"/>
      <c r="M142" s="114"/>
      <c r="N142" s="114"/>
      <c r="O142" s="112"/>
      <c r="P142" s="133"/>
      <c r="Q142" s="133"/>
      <c r="R142" s="133"/>
      <c r="S142" s="133"/>
      <c r="AD142" s="112"/>
    </row>
    <row r="143" spans="1:30" x14ac:dyDescent="0.3">
      <c r="A143" s="112"/>
      <c r="B143" s="112"/>
      <c r="C143" s="112"/>
      <c r="D143" s="113"/>
      <c r="E143" s="114"/>
      <c r="F143" s="115"/>
      <c r="G143" s="114"/>
      <c r="H143" s="112"/>
      <c r="I143" s="114"/>
      <c r="J143" s="114"/>
      <c r="K143" s="114"/>
      <c r="L143" s="114"/>
      <c r="M143" s="114"/>
      <c r="N143" s="114"/>
      <c r="O143" s="112"/>
      <c r="P143" s="133"/>
      <c r="Q143" s="133"/>
      <c r="R143" s="133"/>
      <c r="S143" s="133"/>
      <c r="AD143" s="112"/>
    </row>
    <row r="144" spans="1:30" x14ac:dyDescent="0.3">
      <c r="A144" s="112"/>
      <c r="B144" s="112"/>
      <c r="C144" s="112"/>
      <c r="D144" s="113"/>
      <c r="E144" s="114"/>
      <c r="F144" s="115"/>
      <c r="G144" s="114"/>
      <c r="H144" s="112"/>
      <c r="I144" s="114"/>
      <c r="J144" s="114"/>
      <c r="K144" s="114"/>
      <c r="L144" s="114"/>
      <c r="M144" s="114"/>
      <c r="N144" s="114"/>
      <c r="O144" s="112"/>
      <c r="P144" s="133"/>
      <c r="Q144" s="133"/>
      <c r="R144" s="133"/>
      <c r="S144" s="133"/>
      <c r="AD144" s="112"/>
    </row>
    <row r="145" spans="1:30" x14ac:dyDescent="0.3">
      <c r="A145" s="112"/>
      <c r="B145" s="112"/>
      <c r="C145" s="112"/>
      <c r="D145" s="113"/>
      <c r="E145" s="114"/>
      <c r="F145" s="115"/>
      <c r="G145" s="114"/>
      <c r="H145" s="112"/>
      <c r="I145" s="114"/>
      <c r="J145" s="114"/>
      <c r="K145" s="114"/>
      <c r="L145" s="114"/>
      <c r="M145" s="114"/>
      <c r="N145" s="114"/>
      <c r="O145" s="112"/>
      <c r="P145" s="133"/>
      <c r="Q145" s="133"/>
      <c r="R145" s="133"/>
      <c r="S145" s="133"/>
      <c r="AD145" s="112"/>
    </row>
    <row r="146" spans="1:30" x14ac:dyDescent="0.3">
      <c r="A146" s="112"/>
      <c r="B146" s="112"/>
      <c r="D146" s="113"/>
      <c r="E146" s="114"/>
      <c r="F146" s="115"/>
      <c r="G146" s="114"/>
      <c r="H146" s="112"/>
      <c r="I146" s="114"/>
      <c r="J146" s="114"/>
      <c r="K146" s="114"/>
      <c r="L146" s="114"/>
      <c r="M146" s="114"/>
      <c r="N146" s="114"/>
      <c r="O146" s="112"/>
      <c r="P146" s="133"/>
      <c r="Q146" s="133"/>
      <c r="R146" s="133"/>
      <c r="S146" s="133"/>
      <c r="AD146" s="112"/>
    </row>
  </sheetData>
  <sheetProtection password="E52D" sheet="1" objects="1" scenarios="1" selectLockedCells="1"/>
  <mergeCells count="72">
    <mergeCell ref="C13:M13"/>
    <mergeCell ref="C10:M10"/>
    <mergeCell ref="G16:I16"/>
    <mergeCell ref="J16:L16"/>
    <mergeCell ref="N8:O15"/>
    <mergeCell ref="M18:O18"/>
    <mergeCell ref="D20:F20"/>
    <mergeCell ref="G20:I20"/>
    <mergeCell ref="J20:L20"/>
    <mergeCell ref="D16:F16"/>
    <mergeCell ref="M16:O16"/>
    <mergeCell ref="D24:F24"/>
    <mergeCell ref="D23:F23"/>
    <mergeCell ref="D18:F18"/>
    <mergeCell ref="G18:I18"/>
    <mergeCell ref="J18:L18"/>
    <mergeCell ref="G24:I24"/>
    <mergeCell ref="J24:L24"/>
    <mergeCell ref="D30:F30"/>
    <mergeCell ref="G30:I30"/>
    <mergeCell ref="J30:L30"/>
    <mergeCell ref="D26:F26"/>
    <mergeCell ref="G26:I26"/>
    <mergeCell ref="J26:L26"/>
    <mergeCell ref="M30:O30"/>
    <mergeCell ref="M19:O19"/>
    <mergeCell ref="J19:L19"/>
    <mergeCell ref="G19:I19"/>
    <mergeCell ref="D19:F19"/>
    <mergeCell ref="D25:F25"/>
    <mergeCell ref="G25:I25"/>
    <mergeCell ref="J25:L25"/>
    <mergeCell ref="M25:O25"/>
    <mergeCell ref="M20:O20"/>
    <mergeCell ref="M23:O23"/>
    <mergeCell ref="D22:F22"/>
    <mergeCell ref="G22:I22"/>
    <mergeCell ref="D29:F29"/>
    <mergeCell ref="G29:I29"/>
    <mergeCell ref="J29:L29"/>
    <mergeCell ref="M29:O29"/>
    <mergeCell ref="D27:F27"/>
    <mergeCell ref="G27:I27"/>
    <mergeCell ref="J27:L27"/>
    <mergeCell ref="M27:O27"/>
    <mergeCell ref="M26:O26"/>
    <mergeCell ref="D28:F28"/>
    <mergeCell ref="G28:I28"/>
    <mergeCell ref="J28:L28"/>
    <mergeCell ref="M28:O28"/>
    <mergeCell ref="M24:O24"/>
    <mergeCell ref="J22:L22"/>
    <mergeCell ref="M22:O22"/>
    <mergeCell ref="G23:I23"/>
    <mergeCell ref="J23:L23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6:C36"/>
    <mergeCell ref="B34:C34"/>
    <mergeCell ref="B33:C33"/>
    <mergeCell ref="B35:C35"/>
    <mergeCell ref="B28:C28"/>
    <mergeCell ref="B29:C29"/>
    <mergeCell ref="B30:C30"/>
  </mergeCells>
  <dataValidations xWindow="1117" yWindow="948" count="14">
    <dataValidation type="custom" allowBlank="1" showInputMessage="1" showErrorMessage="1" sqref="F6">
      <formula1>D6*E6*1.75</formula1>
    </dataValidation>
    <dataValidation type="list" allowBlank="1" showInputMessage="1" showErrorMessage="1" sqref="M15">
      <mc:AlternateContent xmlns:x12ac="http://schemas.microsoft.com/office/spreadsheetml/2011/1/ac" xmlns:mc="http://schemas.openxmlformats.org/markup-compatibility/2006">
        <mc:Choice Requires="x12ac">
          <x12ac:list>"4,50 $"</x12ac:list>
        </mc:Choice>
        <mc:Fallback>
          <formula1>"4,50 $"</formula1>
        </mc:Fallback>
      </mc:AlternateContent>
    </dataValidation>
    <dataValidation type="list" allowBlank="1" showInputMessage="1" showErrorMessage="1" sqref="J15">
      <mc:AlternateContent xmlns:x12ac="http://schemas.microsoft.com/office/spreadsheetml/2011/1/ac" xmlns:mc="http://schemas.openxmlformats.org/markup-compatibility/2006">
        <mc:Choice Requires="x12ac">
          <x12ac:list>"12,99 $"</x12ac:list>
        </mc:Choice>
        <mc:Fallback>
          <formula1>"12,99 $"</formula1>
        </mc:Fallback>
      </mc:AlternateContent>
    </dataValidation>
    <dataValidation type="list" allowBlank="1" showInputMessage="1" showErrorMessage="1" sqref="I15">
      <mc:AlternateContent xmlns:x12ac="http://schemas.microsoft.com/office/spreadsheetml/2011/1/ac" xmlns:mc="http://schemas.openxmlformats.org/markup-compatibility/2006">
        <mc:Choice Requires="x12ac">
          <x12ac:list>"22,98 $"</x12ac:list>
        </mc:Choice>
        <mc:Fallback>
          <formula1>"22,98 $"</formula1>
        </mc:Fallback>
      </mc:AlternateContent>
    </dataValidation>
    <dataValidation type="list" allowBlank="1" showInputMessage="1" showErrorMessage="1" sqref="H15">
      <mc:AlternateContent xmlns:x12ac="http://schemas.microsoft.com/office/spreadsheetml/2011/1/ac" xmlns:mc="http://schemas.openxmlformats.org/markup-compatibility/2006">
        <mc:Choice Requires="x12ac">
          <x12ac:list>"16,29 $"</x12ac:list>
        </mc:Choice>
        <mc:Fallback>
          <formula1>"16,29 $"</formula1>
        </mc:Fallback>
      </mc:AlternateContent>
    </dataValidation>
    <dataValidation type="list" allowBlank="1" showInputMessage="1" showErrorMessage="1" sqref="F15">
      <mc:AlternateContent xmlns:x12ac="http://schemas.microsoft.com/office/spreadsheetml/2011/1/ac" xmlns:mc="http://schemas.openxmlformats.org/markup-compatibility/2006">
        <mc:Choice Requires="x12ac">
          <x12ac:list>"23,99 $"</x12ac:list>
        </mc:Choice>
        <mc:Fallback>
          <formula1>"23,99 $"</formula1>
        </mc:Fallback>
      </mc:AlternateContent>
    </dataValidation>
    <dataValidation type="list" allowBlank="1" showInputMessage="1" showErrorMessage="1" sqref="E15">
      <mc:AlternateContent xmlns:x12ac="http://schemas.microsoft.com/office/spreadsheetml/2011/1/ac" xmlns:mc="http://schemas.openxmlformats.org/markup-compatibility/2006">
        <mc:Choice Requires="x12ac">
          <x12ac:list>"122,99 $"</x12ac:list>
        </mc:Choice>
        <mc:Fallback>
          <formula1>"122,99 $"</formula1>
        </mc:Fallback>
      </mc:AlternateContent>
    </dataValidation>
    <dataValidation type="list" allowBlank="1" showInputMessage="1" showErrorMessage="1" sqref="D15">
      <mc:AlternateContent xmlns:x12ac="http://schemas.microsoft.com/office/spreadsheetml/2011/1/ac" xmlns:mc="http://schemas.openxmlformats.org/markup-compatibility/2006">
        <mc:Choice Requires="x12ac">
          <x12ac:list>"11,99 $"</x12ac:list>
        </mc:Choice>
        <mc:Fallback>
          <formula1>"11,99 $"</formula1>
        </mc:Fallback>
      </mc:AlternateContent>
    </dataValidation>
    <dataValidation type="list" allowBlank="1" showInputMessage="1" showErrorMessage="1" sqref="L15">
      <mc:AlternateContent xmlns:x12ac="http://schemas.microsoft.com/office/spreadsheetml/2011/1/ac" xmlns:mc="http://schemas.openxmlformats.org/markup-compatibility/2006">
        <mc:Choice Requires="x12ac">
          <x12ac:list>"113,99 $"</x12ac:list>
        </mc:Choice>
        <mc:Fallback>
          <formula1>"113,99 $"</formula1>
        </mc:Fallback>
      </mc:AlternateContent>
    </dataValidation>
    <dataValidation type="list" allowBlank="1" showInputMessage="1" showErrorMessage="1" promptTitle="ListAD" sqref="J20 D20 G20 M20 B20">
      <formula1>ListAD</formula1>
    </dataValidation>
    <dataValidation type="list" allowBlank="1" showInputMessage="1" showErrorMessage="1" promptTitle="ListEH" sqref="J23 D23 G23 M23 B23">
      <formula1>ListEH</formula1>
    </dataValidation>
    <dataValidation allowBlank="1" showInputMessage="1" showErrorMessage="1" promptTitle="ListAD" sqref="B21 D24:O24 E21:F21 H21:I21 N21:O21 K21:L21"/>
    <dataValidation allowBlank="1" showInputMessage="1" showErrorMessage="1" promptTitle="ListEH" sqref="B24"/>
    <dataValidation type="list" allowBlank="1" showInputMessage="1" showErrorMessage="1" sqref="B35:C35">
      <formula1>Animaux</formula1>
    </dataValidation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5" scale="54" fitToWidth="0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BY10"/>
  <sheetViews>
    <sheetView workbookViewId="0">
      <selection activeCell="B12" sqref="B12"/>
    </sheetView>
  </sheetViews>
  <sheetFormatPr baseColWidth="10" defaultRowHeight="14.4" x14ac:dyDescent="0.3"/>
  <cols>
    <col min="1" max="1" width="4.5546875" customWidth="1"/>
    <col min="2" max="2" width="31.6640625" customWidth="1"/>
    <col min="3" max="3" width="8.109375" style="3" customWidth="1"/>
    <col min="4" max="5" width="10.88671875" style="3" customWidth="1"/>
    <col min="6" max="6" width="18.44140625" style="24" bestFit="1" customWidth="1"/>
    <col min="7" max="10" width="11.33203125" style="3" customWidth="1"/>
    <col min="11" max="11" width="11.33203125" customWidth="1"/>
    <col min="12" max="12" width="13.6640625" style="14" customWidth="1"/>
    <col min="13" max="13" width="14.109375" style="15" customWidth="1"/>
    <col min="14" max="15" width="8.88671875" style="33" customWidth="1"/>
    <col min="16" max="16" width="11.109375" style="1" customWidth="1"/>
    <col min="17" max="17" width="11.109375" style="2" customWidth="1"/>
    <col min="18" max="19" width="11.109375" style="29" customWidth="1"/>
    <col min="20" max="20" width="8.6640625" style="14" bestFit="1" customWidth="1"/>
    <col min="21" max="21" width="8.88671875" style="15" bestFit="1" customWidth="1"/>
    <col min="22" max="23" width="8.88671875" style="32" customWidth="1"/>
    <col min="24" max="24" width="11.33203125" style="15" customWidth="1"/>
    <col min="25" max="25" width="10.33203125" style="14" bestFit="1" customWidth="1"/>
    <col min="26" max="26" width="8.88671875" style="15" bestFit="1" customWidth="1"/>
    <col min="27" max="28" width="8.88671875" style="32" customWidth="1"/>
    <col min="29" max="29" width="10.33203125" style="16" customWidth="1"/>
    <col min="30" max="30" width="11.33203125" style="14" customWidth="1"/>
    <col min="31" max="31" width="11.33203125" style="15" customWidth="1"/>
    <col min="32" max="33" width="11.33203125" style="32" customWidth="1"/>
    <col min="34" max="34" width="11.33203125" style="16" customWidth="1"/>
    <col min="35" max="39" width="11.33203125" style="15" customWidth="1"/>
    <col min="40" max="40" width="11.33203125" style="14" customWidth="1"/>
    <col min="41" max="41" width="11.33203125" style="15" customWidth="1"/>
    <col min="42" max="43" width="11.33203125" style="32" customWidth="1"/>
    <col min="44" max="44" width="11.33203125" style="16" customWidth="1"/>
    <col min="45" max="45" width="11.33203125" style="23" customWidth="1"/>
    <col min="46" max="46" width="11.33203125" style="24" customWidth="1"/>
    <col min="47" max="48" width="11.33203125" style="32" customWidth="1"/>
    <col min="49" max="49" width="11.33203125" style="25" customWidth="1"/>
    <col min="50" max="51" width="11.33203125" style="24" customWidth="1"/>
    <col min="52" max="53" width="11.33203125" style="32" customWidth="1"/>
    <col min="54" max="54" width="11.33203125" style="24" customWidth="1"/>
    <col min="55" max="55" width="11.33203125" style="23" customWidth="1"/>
    <col min="56" max="56" width="11.33203125" style="24" customWidth="1"/>
    <col min="57" max="58" width="11.33203125" style="32" customWidth="1"/>
    <col min="59" max="59" width="11.33203125" style="23" customWidth="1"/>
    <col min="60" max="61" width="11.33203125" style="24" customWidth="1"/>
    <col min="62" max="63" width="11.33203125" style="32" customWidth="1"/>
    <col min="64" max="64" width="11.33203125" style="101" customWidth="1"/>
    <col min="68" max="74" width="14.6640625" customWidth="1"/>
  </cols>
  <sheetData>
    <row r="1" spans="1:77" s="38" customFormat="1" ht="109.5" customHeight="1" x14ac:dyDescent="0.2">
      <c r="A1" s="38" t="s">
        <v>95</v>
      </c>
      <c r="B1" s="38" t="s">
        <v>41</v>
      </c>
      <c r="C1" s="38" t="str">
        <f>'BASE DONNÉES'!B1</f>
        <v>BREBIS</v>
      </c>
      <c r="D1" s="38" t="s">
        <v>89</v>
      </c>
      <c r="E1" s="38" t="s">
        <v>90</v>
      </c>
      <c r="F1" s="39" t="s">
        <v>60</v>
      </c>
      <c r="G1" s="38" t="s">
        <v>92</v>
      </c>
      <c r="H1" s="38" t="s">
        <v>93</v>
      </c>
      <c r="I1" s="102" t="s">
        <v>27</v>
      </c>
      <c r="J1" s="102" t="s">
        <v>28</v>
      </c>
      <c r="K1" s="102" t="s">
        <v>277</v>
      </c>
      <c r="L1" s="103" t="s">
        <v>91</v>
      </c>
      <c r="M1" s="39" t="s">
        <v>46</v>
      </c>
      <c r="N1" s="41" t="s">
        <v>64</v>
      </c>
      <c r="O1" s="41" t="s">
        <v>65</v>
      </c>
      <c r="P1" s="43" t="s">
        <v>42</v>
      </c>
      <c r="Q1" s="44" t="s">
        <v>136</v>
      </c>
      <c r="R1" s="45" t="s">
        <v>64</v>
      </c>
      <c r="S1" s="45" t="s">
        <v>66</v>
      </c>
      <c r="T1" s="40" t="s">
        <v>47</v>
      </c>
      <c r="U1" s="39" t="s">
        <v>44</v>
      </c>
      <c r="V1" s="41" t="s">
        <v>64</v>
      </c>
      <c r="W1" s="41" t="s">
        <v>67</v>
      </c>
      <c r="X1" s="39" t="s">
        <v>45</v>
      </c>
      <c r="Y1" s="40" t="s">
        <v>130</v>
      </c>
      <c r="Z1" s="39" t="s">
        <v>131</v>
      </c>
      <c r="AA1" s="41" t="s">
        <v>64</v>
      </c>
      <c r="AB1" s="41" t="s">
        <v>43</v>
      </c>
      <c r="AC1" s="42" t="s">
        <v>43</v>
      </c>
      <c r="AD1" s="40" t="s">
        <v>56</v>
      </c>
      <c r="AE1" s="39" t="s">
        <v>48</v>
      </c>
      <c r="AF1" s="41" t="s">
        <v>64</v>
      </c>
      <c r="AG1" s="41" t="s">
        <v>68</v>
      </c>
      <c r="AH1" s="42" t="s">
        <v>49</v>
      </c>
      <c r="AI1" s="40" t="s">
        <v>132</v>
      </c>
      <c r="AJ1" s="39" t="s">
        <v>50</v>
      </c>
      <c r="AK1" s="41" t="s">
        <v>64</v>
      </c>
      <c r="AL1" s="41" t="s">
        <v>69</v>
      </c>
      <c r="AM1" s="42" t="s">
        <v>51</v>
      </c>
      <c r="AN1" s="40" t="s">
        <v>94</v>
      </c>
      <c r="AO1" s="39" t="s">
        <v>50</v>
      </c>
      <c r="AP1" s="41" t="s">
        <v>64</v>
      </c>
      <c r="AQ1" s="41" t="s">
        <v>69</v>
      </c>
      <c r="AR1" s="42" t="s">
        <v>51</v>
      </c>
      <c r="AS1" s="40" t="s">
        <v>57</v>
      </c>
      <c r="AT1" s="39" t="s">
        <v>52</v>
      </c>
      <c r="AU1" s="41" t="s">
        <v>64</v>
      </c>
      <c r="AV1" s="41" t="s">
        <v>70</v>
      </c>
      <c r="AW1" s="42" t="s">
        <v>53</v>
      </c>
      <c r="AX1" s="39" t="s">
        <v>62</v>
      </c>
      <c r="AY1" s="39" t="s">
        <v>61</v>
      </c>
      <c r="AZ1" s="41" t="s">
        <v>64</v>
      </c>
      <c r="BA1" s="41" t="s">
        <v>71</v>
      </c>
      <c r="BB1" s="39" t="s">
        <v>63</v>
      </c>
      <c r="BC1" s="40" t="s">
        <v>134</v>
      </c>
      <c r="BD1" s="39" t="s">
        <v>129</v>
      </c>
      <c r="BE1" s="41" t="s">
        <v>64</v>
      </c>
      <c r="BF1" s="41" t="s">
        <v>72</v>
      </c>
      <c r="BG1" s="40" t="s">
        <v>135</v>
      </c>
      <c r="BH1" s="51" t="s">
        <v>96</v>
      </c>
      <c r="BI1" s="39" t="s">
        <v>54</v>
      </c>
      <c r="BJ1" s="41" t="s">
        <v>64</v>
      </c>
      <c r="BK1" s="41" t="s">
        <v>73</v>
      </c>
      <c r="BL1" s="99" t="s">
        <v>74</v>
      </c>
      <c r="BM1" s="38" t="s">
        <v>59</v>
      </c>
      <c r="BN1" s="38" t="s">
        <v>58</v>
      </c>
      <c r="BO1" s="38" t="s">
        <v>55</v>
      </c>
      <c r="BP1" s="99" t="s">
        <v>140</v>
      </c>
      <c r="BQ1" s="238" t="s">
        <v>278</v>
      </c>
      <c r="BR1" s="238" t="s">
        <v>279</v>
      </c>
      <c r="BS1" s="238" t="s">
        <v>285</v>
      </c>
      <c r="BT1" s="239" t="s">
        <v>282</v>
      </c>
      <c r="BU1" s="245" t="s">
        <v>286</v>
      </c>
      <c r="BV1" s="240" t="s">
        <v>281</v>
      </c>
      <c r="BW1" s="246" t="s">
        <v>283</v>
      </c>
      <c r="BX1" s="246" t="s">
        <v>284</v>
      </c>
    </row>
    <row r="2" spans="1:77" ht="50.25" customHeight="1" x14ac:dyDescent="0.3">
      <c r="A2" t="s">
        <v>75</v>
      </c>
      <c r="B2" s="12" t="s">
        <v>83</v>
      </c>
      <c r="C2" s="8">
        <f>'BASE DONNÉES'!B2</f>
        <v>200</v>
      </c>
      <c r="D2" s="8">
        <f>'BASE DONNÉES'!C2</f>
        <v>150</v>
      </c>
      <c r="E2" s="7">
        <f>'BASE DONNÉES'!E2</f>
        <v>3000</v>
      </c>
      <c r="F2" s="27">
        <f>'BASE DONNÉES'!W2</f>
        <v>4.3817609201697936</v>
      </c>
      <c r="G2" s="7">
        <f>'BASE DONNÉES'!G2</f>
        <v>1673.3200530681511</v>
      </c>
      <c r="H2" s="7">
        <f>'BASE DONNÉES'!H2</f>
        <v>2928.3100928692643</v>
      </c>
      <c r="I2" s="7">
        <f>'BASE DONNÉES'!N2</f>
        <v>8366.6002653407559</v>
      </c>
      <c r="J2" s="7">
        <f>'BASE DONNÉES'!O2</f>
        <v>8784.9302786077933</v>
      </c>
      <c r="K2" s="6">
        <f>'BASE DONNÉES'!T2</f>
        <v>7.34</v>
      </c>
      <c r="L2" s="13">
        <f>'BASE DONNÉES'!AR2</f>
        <v>4.5</v>
      </c>
      <c r="M2" s="46">
        <f>(G2/K2)</f>
        <v>227.97275927359007</v>
      </c>
      <c r="N2" s="92">
        <f>ROUNDUP(M2,0)</f>
        <v>228</v>
      </c>
      <c r="O2" s="37">
        <f>L2*N2</f>
        <v>1026</v>
      </c>
      <c r="P2" s="10">
        <f>'BASE DONNÉES'!AU2</f>
        <v>113.99</v>
      </c>
      <c r="Q2" s="93">
        <v>0</v>
      </c>
      <c r="R2" s="94">
        <v>0</v>
      </c>
      <c r="S2" s="162">
        <f>P2*R2</f>
        <v>0</v>
      </c>
      <c r="T2" s="13">
        <f>'BASE DONNÉES'!AH2</f>
        <v>113.99</v>
      </c>
      <c r="U2" s="95">
        <f>(I2/610)</f>
        <v>13.715738139902879</v>
      </c>
      <c r="V2" s="96">
        <f t="shared" ref="V2:V9" si="0">ROUNDUP(U2,0)</f>
        <v>14</v>
      </c>
      <c r="W2" s="31">
        <f t="shared" ref="W2:W9" si="1">T2*V2</f>
        <v>1595.86</v>
      </c>
      <c r="X2" s="18">
        <f t="shared" ref="X2:X8" si="2">(U2*T2)</f>
        <v>1563.4569905675291</v>
      </c>
      <c r="Y2" s="13">
        <f>'BASE DONNÉES'!AJ2</f>
        <v>53.99</v>
      </c>
      <c r="Z2" s="35">
        <f>((100/G2)*G2)/25</f>
        <v>4</v>
      </c>
      <c r="AA2" s="48">
        <f>ROUNDUP(Z2,0)</f>
        <v>4</v>
      </c>
      <c r="AB2" s="34">
        <f>Y2*Z2</f>
        <v>215.96</v>
      </c>
      <c r="AC2" s="17">
        <f t="shared" ref="AC2:AC9" si="3">Y2*Z2</f>
        <v>215.96</v>
      </c>
      <c r="AD2" s="13">
        <f>'BASE DONNÉES'!AL2</f>
        <v>122.99</v>
      </c>
      <c r="AE2" s="35">
        <v>1</v>
      </c>
      <c r="AF2" s="36">
        <f>ROUNDUP(AE2,0)</f>
        <v>1</v>
      </c>
      <c r="AG2" s="34">
        <f t="shared" ref="AG2:AG9" si="4">AD2*AF2</f>
        <v>122.99</v>
      </c>
      <c r="AH2" s="17">
        <f t="shared" ref="AH2:AH9" si="5">AD2*AE2</f>
        <v>122.99</v>
      </c>
      <c r="AI2" s="13">
        <f>'BASE DONNÉES'!AM2</f>
        <v>23.99</v>
      </c>
      <c r="AJ2" s="35">
        <f>((10/D2)*D2)/10</f>
        <v>1</v>
      </c>
      <c r="AK2" s="36">
        <f>ROUNDUP(AJ2,0)</f>
        <v>1</v>
      </c>
      <c r="AL2" s="97">
        <f t="shared" ref="AL2:AL9" si="6">AI2*AK2</f>
        <v>23.99</v>
      </c>
      <c r="AM2" s="17">
        <f t="shared" ref="AM2:AM8" si="7">AI2*AJ2</f>
        <v>23.99</v>
      </c>
      <c r="AN2" s="13">
        <f>'BASE DONNÉES'!AN2</f>
        <v>16.29</v>
      </c>
      <c r="AO2" s="35">
        <v>0</v>
      </c>
      <c r="AP2" s="34">
        <f>ROUNDUP(AO2,0)</f>
        <v>0</v>
      </c>
      <c r="AQ2" s="34">
        <f t="shared" ref="AQ2:AQ9" si="8">AN2*AP2</f>
        <v>0</v>
      </c>
      <c r="AR2" s="17">
        <f t="shared" ref="AR2:AR6" si="9">AN2*AO2</f>
        <v>0</v>
      </c>
      <c r="AS2" s="19">
        <f>'BASE DONNÉES'!AQ2</f>
        <v>12.99</v>
      </c>
      <c r="AT2" s="28">
        <f>((10/I2)*I2)/10</f>
        <v>1</v>
      </c>
      <c r="AU2" s="36">
        <f>ROUNDUP(AT2,0)</f>
        <v>1</v>
      </c>
      <c r="AV2" s="34">
        <f t="shared" ref="AV2:AV9" si="10">AS2*AU2</f>
        <v>12.99</v>
      </c>
      <c r="AW2" s="21">
        <f t="shared" ref="AW2:AW5" si="11">AS2*AT2</f>
        <v>12.99</v>
      </c>
      <c r="AX2" s="22">
        <f>'BASE DONNÉES'!AP2</f>
        <v>22.98</v>
      </c>
      <c r="AY2" s="20">
        <v>0</v>
      </c>
      <c r="AZ2" s="48">
        <f t="shared" ref="AZ2:AZ5" si="12">ROUNDUP(AY2,0)</f>
        <v>0</v>
      </c>
      <c r="BA2" s="34">
        <f t="shared" ref="BA2:BA5" si="13">AX2*AZ2</f>
        <v>0</v>
      </c>
      <c r="BB2" s="26">
        <f t="shared" ref="BB2:BB5" si="14">AX2*AY2</f>
        <v>0</v>
      </c>
      <c r="BC2" s="19">
        <f>'BASE DONNÉES'!AK2</f>
        <v>11.99</v>
      </c>
      <c r="BD2" s="28">
        <f>(M2*5/25)</f>
        <v>45.594551854718013</v>
      </c>
      <c r="BE2" s="36">
        <f>ROUNDUP(BD2,0)</f>
        <v>46</v>
      </c>
      <c r="BF2" s="34">
        <f t="shared" ref="BF2:BF9" si="15">BC2*BE2</f>
        <v>551.54</v>
      </c>
      <c r="BG2" s="19">
        <f>'BASE DONNÉES'!Y2</f>
        <v>15</v>
      </c>
      <c r="BH2" s="52">
        <f>'BASE DONNÉES'!X2</f>
        <v>3</v>
      </c>
      <c r="BI2" s="26">
        <f>BH2*('BASE DONNÉES'!S2)</f>
        <v>50.19960159204453</v>
      </c>
      <c r="BJ2" s="36">
        <f t="shared" ref="BJ2:BJ9" si="16">ROUNDUP(BI2,0)</f>
        <v>51</v>
      </c>
      <c r="BK2" s="34">
        <f t="shared" ref="BK2:BK9" si="17">BG2*BJ2</f>
        <v>765</v>
      </c>
      <c r="BL2" s="100">
        <f>O2+S2+W2+AB2+AG2+AL2+AQ2+AV2+BA2+BF2+BK2</f>
        <v>4314.329999999999</v>
      </c>
      <c r="BM2" s="98">
        <v>15</v>
      </c>
      <c r="BN2" s="3">
        <v>2</v>
      </c>
      <c r="BO2" s="98">
        <f>BN2*BM2</f>
        <v>30</v>
      </c>
      <c r="BP2" s="100">
        <f>BL2+BO2</f>
        <v>4344.329999999999</v>
      </c>
      <c r="BQ2" s="231"/>
      <c r="BR2" s="231"/>
      <c r="BS2" s="231"/>
      <c r="BT2" s="231"/>
      <c r="BU2" s="231"/>
      <c r="BV2" s="231"/>
    </row>
    <row r="3" spans="1:77" ht="43.2" x14ac:dyDescent="0.3">
      <c r="A3" t="s">
        <v>76</v>
      </c>
      <c r="B3" s="12" t="s">
        <v>82</v>
      </c>
      <c r="C3" s="8">
        <f>'BASE DONNÉES'!B3</f>
        <v>200</v>
      </c>
      <c r="D3" s="8">
        <f>'BASE DONNÉES'!C3</f>
        <v>150</v>
      </c>
      <c r="E3" s="7">
        <f>'BASE DONNÉES'!E3</f>
        <v>3000</v>
      </c>
      <c r="F3" s="27">
        <f>'BASE DONNÉES'!W3</f>
        <v>4.3817609201697936</v>
      </c>
      <c r="G3" s="7">
        <f>'BASE DONNÉES'!G3</f>
        <v>1673.3200530681511</v>
      </c>
      <c r="H3" s="7">
        <f>'BASE DONNÉES'!H3</f>
        <v>2928.3100928692643</v>
      </c>
      <c r="I3" s="7">
        <f>'BASE DONNÉES'!N3</f>
        <v>8366.6002653407559</v>
      </c>
      <c r="J3" s="7">
        <f>'BASE DONNÉES'!O3</f>
        <v>8784.9302786077933</v>
      </c>
      <c r="K3" s="6">
        <f>'BASE DONNÉES'!T3</f>
        <v>7.34</v>
      </c>
      <c r="L3" s="13">
        <f>'BASE DONNÉES'!AR3</f>
        <v>4.5</v>
      </c>
      <c r="M3" s="46">
        <v>0</v>
      </c>
      <c r="N3" s="92">
        <v>0</v>
      </c>
      <c r="O3" s="37">
        <f>L3*N3</f>
        <v>0</v>
      </c>
      <c r="P3" s="10">
        <f>'BASE DONNÉES'!AU3</f>
        <v>113.99</v>
      </c>
      <c r="Q3" s="93">
        <f>(G3/K3)/10</f>
        <v>22.797275927359006</v>
      </c>
      <c r="R3" s="94">
        <f>ROUNDUP(Q3,0)</f>
        <v>23</v>
      </c>
      <c r="S3" s="30">
        <f t="shared" ref="S3:S9" si="18">P3*R3</f>
        <v>2621.77</v>
      </c>
      <c r="T3" s="13">
        <f>'BASE DONNÉES'!AH3</f>
        <v>113.99</v>
      </c>
      <c r="U3" s="95">
        <f>I3/610</f>
        <v>13.715738139902879</v>
      </c>
      <c r="V3" s="96">
        <f t="shared" si="0"/>
        <v>14</v>
      </c>
      <c r="W3" s="31">
        <f t="shared" si="1"/>
        <v>1595.86</v>
      </c>
      <c r="X3" s="18">
        <f t="shared" si="2"/>
        <v>1563.4569905675291</v>
      </c>
      <c r="Y3" s="13">
        <f>'BASE DONNÉES'!AJ3</f>
        <v>53.99</v>
      </c>
      <c r="Z3" s="35">
        <f>((100/G3)*G3)/25</f>
        <v>4</v>
      </c>
      <c r="AA3" s="48">
        <f>ROUNDUP(Z3,0)</f>
        <v>4</v>
      </c>
      <c r="AB3" s="34">
        <f>Y3*Z3</f>
        <v>215.96</v>
      </c>
      <c r="AC3" s="17">
        <f t="shared" si="3"/>
        <v>215.96</v>
      </c>
      <c r="AD3" s="13">
        <f>'BASE DONNÉES'!AL3</f>
        <v>122.99</v>
      </c>
      <c r="AE3" s="35">
        <f>((25/I3)*I3)/25</f>
        <v>1</v>
      </c>
      <c r="AF3" s="36">
        <f>ROUNDUP(AE3,0)</f>
        <v>1</v>
      </c>
      <c r="AG3" s="34">
        <f t="shared" si="4"/>
        <v>122.99</v>
      </c>
      <c r="AH3" s="17">
        <f t="shared" si="5"/>
        <v>122.99</v>
      </c>
      <c r="AI3" s="13">
        <f>'BASE DONNÉES'!AM3</f>
        <v>23.99</v>
      </c>
      <c r="AJ3" s="35">
        <f>((10/D3)*D3)/10</f>
        <v>1</v>
      </c>
      <c r="AK3" s="36">
        <f t="shared" ref="AK3:AK9" si="19">ROUNDUP(AJ3,0)</f>
        <v>1</v>
      </c>
      <c r="AL3" s="97">
        <f t="shared" si="6"/>
        <v>23.99</v>
      </c>
      <c r="AM3" s="17">
        <f t="shared" si="7"/>
        <v>23.99</v>
      </c>
      <c r="AN3" s="13">
        <f>'BASE DONNÉES'!AN3</f>
        <v>16.29</v>
      </c>
      <c r="AO3" s="35">
        <f>(Q3*10*5)/100</f>
        <v>11.398637963679503</v>
      </c>
      <c r="AP3" s="34">
        <f>ROUNDUP(AO3,0)</f>
        <v>12</v>
      </c>
      <c r="AQ3" s="34">
        <f t="shared" si="8"/>
        <v>195.48</v>
      </c>
      <c r="AR3" s="17">
        <f t="shared" si="9"/>
        <v>185.68381242833911</v>
      </c>
      <c r="AS3" s="19">
        <f>'BASE DONNÉES'!AQ3</f>
        <v>12.99</v>
      </c>
      <c r="AT3" s="49">
        <v>1</v>
      </c>
      <c r="AU3" s="48">
        <v>1</v>
      </c>
      <c r="AV3" s="34">
        <f t="shared" si="10"/>
        <v>12.99</v>
      </c>
      <c r="AW3" s="21">
        <f t="shared" si="11"/>
        <v>12.99</v>
      </c>
      <c r="AX3" s="22">
        <f>'BASE DONNÉES'!AP3</f>
        <v>22.98</v>
      </c>
      <c r="AY3" s="20">
        <v>0</v>
      </c>
      <c r="AZ3" s="48">
        <f t="shared" si="12"/>
        <v>0</v>
      </c>
      <c r="BA3" s="34">
        <f t="shared" si="13"/>
        <v>0</v>
      </c>
      <c r="BB3" s="26">
        <f t="shared" si="14"/>
        <v>0</v>
      </c>
      <c r="BC3" s="19">
        <f>'BASE DONNÉES'!AK3</f>
        <v>11.99</v>
      </c>
      <c r="BD3" s="22">
        <v>0</v>
      </c>
      <c r="BE3" s="36">
        <v>0</v>
      </c>
      <c r="BF3" s="34">
        <f t="shared" si="15"/>
        <v>0</v>
      </c>
      <c r="BG3" s="19">
        <f>'BASE DONNÉES'!Y3</f>
        <v>15</v>
      </c>
      <c r="BH3" s="52">
        <f>'BASE DONNÉES'!AF3</f>
        <v>2</v>
      </c>
      <c r="BI3" s="26">
        <f>BH3*('BASE DONNÉES'!S3)</f>
        <v>33.466401061363023</v>
      </c>
      <c r="BJ3" s="36">
        <f t="shared" si="16"/>
        <v>34</v>
      </c>
      <c r="BK3" s="34">
        <f t="shared" si="17"/>
        <v>510</v>
      </c>
      <c r="BL3" s="100">
        <f>O3+S3+W3+AB3+AG3+AL3+AQ3+AV3+BA3+BF3+BK3</f>
        <v>5299.0399999999991</v>
      </c>
      <c r="BM3" s="98">
        <v>15</v>
      </c>
      <c r="BN3" s="3">
        <v>1</v>
      </c>
      <c r="BO3" s="98">
        <f t="shared" ref="BO3:BO10" si="20">BN3*BM3</f>
        <v>15</v>
      </c>
      <c r="BP3" s="100">
        <f t="shared" ref="BP3:BP10" si="21">BL3+BO3</f>
        <v>5314.0399999999991</v>
      </c>
      <c r="BQ3" s="231"/>
      <c r="BR3" s="231"/>
      <c r="BS3" s="231"/>
      <c r="BT3" s="231"/>
      <c r="BU3" s="231"/>
      <c r="BV3" s="231"/>
    </row>
    <row r="4" spans="1:77" ht="63.75" customHeight="1" x14ac:dyDescent="0.3">
      <c r="A4" t="s">
        <v>77</v>
      </c>
      <c r="B4" s="9" t="s">
        <v>81</v>
      </c>
      <c r="C4" s="8">
        <f>'BASE DONNÉES'!B4</f>
        <v>200</v>
      </c>
      <c r="D4" s="8">
        <f>'BASE DONNÉES'!C4</f>
        <v>150</v>
      </c>
      <c r="E4" s="7">
        <f>'BASE DONNÉES'!E4</f>
        <v>3000</v>
      </c>
      <c r="F4" s="27">
        <f>'BASE DONNÉES'!W2</f>
        <v>4.3817609201697936</v>
      </c>
      <c r="G4" s="7">
        <f>'BASE DONNÉES'!G4</f>
        <v>1673.3200530681511</v>
      </c>
      <c r="H4" s="7">
        <f>'BASE DONNÉES'!H4</f>
        <v>2928.3100928692643</v>
      </c>
      <c r="I4" s="7">
        <f>'BASE DONNÉES'!N4</f>
        <v>8366.6002653407559</v>
      </c>
      <c r="J4" s="7">
        <f>'BASE DONNÉES'!O4</f>
        <v>8784.9302786077933</v>
      </c>
      <c r="K4" s="6">
        <f>'BASE DONNÉES'!U4</f>
        <v>7.5</v>
      </c>
      <c r="L4" s="13">
        <f>'BASE DONNÉES'!AR2</f>
        <v>4.5</v>
      </c>
      <c r="M4" s="46">
        <f>H4/K4</f>
        <v>390.44134571590189</v>
      </c>
      <c r="N4" s="92">
        <f>ROUNDUP(M4,0)</f>
        <v>391</v>
      </c>
      <c r="O4" s="37">
        <f t="shared" ref="O4:O9" si="22">L4*N4</f>
        <v>1759.5</v>
      </c>
      <c r="P4" s="10">
        <f>'BASE DONNÉES'!AU4</f>
        <v>113.99</v>
      </c>
      <c r="Q4" s="93">
        <v>0</v>
      </c>
      <c r="R4" s="94">
        <v>0</v>
      </c>
      <c r="S4" s="30">
        <f t="shared" si="18"/>
        <v>0</v>
      </c>
      <c r="T4" s="13">
        <f>'BASE DONNÉES'!AH4</f>
        <v>113.99</v>
      </c>
      <c r="U4" s="95">
        <f>(H4*3)/610</f>
        <v>14.401525046898021</v>
      </c>
      <c r="V4" s="96">
        <f t="shared" si="0"/>
        <v>15</v>
      </c>
      <c r="W4" s="31">
        <f t="shared" si="1"/>
        <v>1709.85</v>
      </c>
      <c r="X4" s="18">
        <f t="shared" si="2"/>
        <v>1641.6298400959054</v>
      </c>
      <c r="Y4" s="13">
        <f>'BASE DONNÉES'!AJ4</f>
        <v>53.99</v>
      </c>
      <c r="Z4" s="47">
        <f>((100/G4)*H4)/25</f>
        <v>7</v>
      </c>
      <c r="AA4" s="48">
        <f t="shared" ref="AA4:AA9" si="23">ROUNDUP(Z4,0)</f>
        <v>7</v>
      </c>
      <c r="AB4" s="34">
        <f t="shared" ref="AB4:AB9" si="24">Y4*AA4</f>
        <v>377.93</v>
      </c>
      <c r="AC4" s="17">
        <f t="shared" si="3"/>
        <v>377.93</v>
      </c>
      <c r="AD4" s="13">
        <f>'BASE DONNÉES'!AL4</f>
        <v>122.99</v>
      </c>
      <c r="AE4" s="47">
        <f>((25/H4)*I4)/25</f>
        <v>2.8571428571428577</v>
      </c>
      <c r="AF4" s="48">
        <f>ROUNDUP(AE4,0)</f>
        <v>3</v>
      </c>
      <c r="AG4" s="34">
        <f t="shared" si="4"/>
        <v>368.96999999999997</v>
      </c>
      <c r="AH4" s="17">
        <f t="shared" si="5"/>
        <v>351.40000000000003</v>
      </c>
      <c r="AI4" s="13">
        <f>'BASE DONNÉES'!AM4</f>
        <v>23.99</v>
      </c>
      <c r="AJ4" s="35">
        <f>((10/D4)*D4)/10</f>
        <v>1</v>
      </c>
      <c r="AK4" s="36">
        <f t="shared" si="19"/>
        <v>1</v>
      </c>
      <c r="AL4" s="97">
        <f t="shared" si="6"/>
        <v>23.99</v>
      </c>
      <c r="AM4" s="17">
        <f t="shared" si="7"/>
        <v>23.99</v>
      </c>
      <c r="AN4" s="13">
        <f>'BASE DONNÉES'!AN4</f>
        <v>16.29</v>
      </c>
      <c r="AO4" s="35">
        <v>0</v>
      </c>
      <c r="AP4" s="34">
        <f t="shared" ref="AP4:AP9" si="25">ROUNDUP(AO4,0)</f>
        <v>0</v>
      </c>
      <c r="AQ4" s="34">
        <f t="shared" si="8"/>
        <v>0</v>
      </c>
      <c r="AR4" s="17">
        <f t="shared" si="9"/>
        <v>0</v>
      </c>
      <c r="AS4" s="19">
        <f>'BASE DONNÉES'!AQ4</f>
        <v>12.99</v>
      </c>
      <c r="AT4" s="24">
        <f>((10/I4)*J4)/10</f>
        <v>1.0499999999999998</v>
      </c>
      <c r="AU4" s="48">
        <v>1</v>
      </c>
      <c r="AV4" s="34">
        <f t="shared" si="10"/>
        <v>12.99</v>
      </c>
      <c r="AW4" s="21">
        <f t="shared" si="11"/>
        <v>13.639499999999998</v>
      </c>
      <c r="AX4" s="22">
        <f>'BASE DONNÉES'!AP4</f>
        <v>22.98</v>
      </c>
      <c r="AY4" s="20">
        <v>0</v>
      </c>
      <c r="AZ4" s="48">
        <f t="shared" si="12"/>
        <v>0</v>
      </c>
      <c r="BA4" s="34">
        <f t="shared" si="13"/>
        <v>0</v>
      </c>
      <c r="BB4" s="26">
        <f t="shared" si="14"/>
        <v>0</v>
      </c>
      <c r="BC4" s="19">
        <f>'BASE DONNÉES'!AK4</f>
        <v>11.99</v>
      </c>
      <c r="BD4" s="49">
        <f>(N4*3)/25</f>
        <v>46.92</v>
      </c>
      <c r="BE4" s="48">
        <f>ROUNDUP(BD4,0)</f>
        <v>47</v>
      </c>
      <c r="BF4" s="34">
        <f t="shared" si="15"/>
        <v>563.53</v>
      </c>
      <c r="BG4" s="19">
        <f>'BASE DONNÉES'!Y4</f>
        <v>15</v>
      </c>
      <c r="BH4" s="53">
        <v>7.5</v>
      </c>
      <c r="BI4" s="26">
        <f>H4/100*BH4</f>
        <v>219.62325696519483</v>
      </c>
      <c r="BJ4" s="48">
        <f t="shared" si="16"/>
        <v>220</v>
      </c>
      <c r="BK4" s="34">
        <f t="shared" si="17"/>
        <v>3300</v>
      </c>
      <c r="BL4" s="100">
        <f>O4+S4+W4+AB4+AG4+AL4+AQ4+AV4+BA4+BF4+BK4</f>
        <v>8116.7599999999993</v>
      </c>
      <c r="BM4" s="98">
        <v>15</v>
      </c>
      <c r="BN4" s="3">
        <v>3.5</v>
      </c>
      <c r="BO4" s="98">
        <f t="shared" si="20"/>
        <v>52.5</v>
      </c>
      <c r="BP4" s="100">
        <f t="shared" si="21"/>
        <v>8169.2599999999993</v>
      </c>
      <c r="BV4" s="231"/>
    </row>
    <row r="5" spans="1:77" ht="44.25" customHeight="1" x14ac:dyDescent="0.3">
      <c r="A5" t="s">
        <v>78</v>
      </c>
      <c r="B5" s="9" t="s">
        <v>133</v>
      </c>
      <c r="C5" s="8">
        <f>'BASE DONNÉES'!B5</f>
        <v>200</v>
      </c>
      <c r="D5" s="8">
        <f>'BASE DONNÉES'!C5</f>
        <v>150</v>
      </c>
      <c r="E5" s="7">
        <f>'BASE DONNÉES'!E4</f>
        <v>3000</v>
      </c>
      <c r="F5" s="27">
        <f>'BASE DONNÉES'!W5</f>
        <v>4.3817609201697936</v>
      </c>
      <c r="G5" s="7">
        <f>'BASE DONNÉES'!G5</f>
        <v>1673.3200530681511</v>
      </c>
      <c r="H5" s="7">
        <f>'BASE DONNÉES'!H5</f>
        <v>2928.3100928692643</v>
      </c>
      <c r="I5" s="7">
        <f>'BASE DONNÉES'!N5</f>
        <v>8366.6002653407559</v>
      </c>
      <c r="J5" s="7">
        <f>'BASE DONNÉES'!O5</f>
        <v>8784.9302786077933</v>
      </c>
      <c r="K5" s="6">
        <v>7.5</v>
      </c>
      <c r="L5" s="13">
        <f>'BASE DONNÉES'!AR5</f>
        <v>4.5</v>
      </c>
      <c r="M5" s="46">
        <v>0</v>
      </c>
      <c r="N5" s="92">
        <v>0</v>
      </c>
      <c r="O5" s="37">
        <f t="shared" si="22"/>
        <v>0</v>
      </c>
      <c r="P5" s="10">
        <f>'BASE DONNÉES'!AU5</f>
        <v>113.99</v>
      </c>
      <c r="Q5" s="93">
        <f>(H5/K5)/10</f>
        <v>39.044134571590192</v>
      </c>
      <c r="R5" s="94">
        <f>ROUNDUP(Q5,0)</f>
        <v>40</v>
      </c>
      <c r="S5" s="30">
        <f t="shared" si="18"/>
        <v>4559.5999999999995</v>
      </c>
      <c r="T5" s="13">
        <f>'BASE DONNÉES'!AH5</f>
        <v>113.99</v>
      </c>
      <c r="U5" s="95">
        <f>H5*3/610</f>
        <v>14.401525046898021</v>
      </c>
      <c r="V5" s="96">
        <f t="shared" si="0"/>
        <v>15</v>
      </c>
      <c r="W5" s="31">
        <f t="shared" si="1"/>
        <v>1709.85</v>
      </c>
      <c r="X5" s="18">
        <f t="shared" si="2"/>
        <v>1641.6298400959054</v>
      </c>
      <c r="Y5" s="13">
        <f>'BASE DONNÉES'!AJ5</f>
        <v>53.99</v>
      </c>
      <c r="Z5" s="47">
        <f>((100/G5)*H5)/25</f>
        <v>7</v>
      </c>
      <c r="AA5" s="48">
        <f t="shared" si="23"/>
        <v>7</v>
      </c>
      <c r="AB5" s="34">
        <f t="shared" si="24"/>
        <v>377.93</v>
      </c>
      <c r="AC5" s="17">
        <f t="shared" si="3"/>
        <v>377.93</v>
      </c>
      <c r="AD5" s="13">
        <f>'BASE DONNÉES'!AL5</f>
        <v>122.99</v>
      </c>
      <c r="AE5" s="47">
        <f>((25/H5)*I5)/25</f>
        <v>2.8571428571428577</v>
      </c>
      <c r="AF5" s="48">
        <f>ROUNDUP(AE5,0)</f>
        <v>3</v>
      </c>
      <c r="AG5" s="34">
        <f t="shared" si="4"/>
        <v>368.96999999999997</v>
      </c>
      <c r="AH5" s="17">
        <f t="shared" si="5"/>
        <v>351.40000000000003</v>
      </c>
      <c r="AI5" s="13">
        <f>'BASE DONNÉES'!AM5</f>
        <v>23.99</v>
      </c>
      <c r="AJ5" s="35">
        <v>1</v>
      </c>
      <c r="AK5" s="36">
        <f t="shared" si="19"/>
        <v>1</v>
      </c>
      <c r="AL5" s="97">
        <f t="shared" si="6"/>
        <v>23.99</v>
      </c>
      <c r="AM5" s="17">
        <f t="shared" si="7"/>
        <v>23.99</v>
      </c>
      <c r="AN5" s="13">
        <f>'BASE DONNÉES'!AN5</f>
        <v>16.29</v>
      </c>
      <c r="AO5" s="47">
        <f>Q5*10*3/100</f>
        <v>11.713240371477056</v>
      </c>
      <c r="AP5" s="34">
        <f t="shared" si="25"/>
        <v>12</v>
      </c>
      <c r="AQ5" s="34">
        <f t="shared" si="8"/>
        <v>195.48</v>
      </c>
      <c r="AR5" s="17">
        <f t="shared" si="9"/>
        <v>190.80868565136123</v>
      </c>
      <c r="AS5" s="19">
        <f>'BASE DONNÉES'!AQ5</f>
        <v>12.99</v>
      </c>
      <c r="AT5" s="24">
        <f>((10/I5)*J5)/10</f>
        <v>1.0499999999999998</v>
      </c>
      <c r="AU5" s="48">
        <v>1</v>
      </c>
      <c r="AV5" s="34">
        <f t="shared" si="10"/>
        <v>12.99</v>
      </c>
      <c r="AW5" s="21">
        <f t="shared" si="11"/>
        <v>13.639499999999998</v>
      </c>
      <c r="AX5" s="22">
        <f>'BASE DONNÉES'!AP5</f>
        <v>22.98</v>
      </c>
      <c r="AY5" s="20">
        <v>0</v>
      </c>
      <c r="AZ5" s="48">
        <f t="shared" si="12"/>
        <v>0</v>
      </c>
      <c r="BA5" s="34">
        <f t="shared" si="13"/>
        <v>0</v>
      </c>
      <c r="BB5" s="26">
        <f t="shared" si="14"/>
        <v>0</v>
      </c>
      <c r="BC5" s="19">
        <f>'BASE DONNÉES'!AK5</f>
        <v>11.99</v>
      </c>
      <c r="BD5" s="22">
        <v>0</v>
      </c>
      <c r="BE5" s="36">
        <v>0</v>
      </c>
      <c r="BF5" s="34">
        <f t="shared" si="15"/>
        <v>0</v>
      </c>
      <c r="BG5" s="19">
        <f>'BASE DONNÉES'!Y5</f>
        <v>15</v>
      </c>
      <c r="BH5" s="53">
        <v>3.75</v>
      </c>
      <c r="BI5" s="26">
        <f>H5/100*BH5</f>
        <v>109.81162848259741</v>
      </c>
      <c r="BJ5" s="48">
        <f t="shared" si="16"/>
        <v>110</v>
      </c>
      <c r="BK5" s="34">
        <f t="shared" si="17"/>
        <v>1650</v>
      </c>
      <c r="BL5" s="100">
        <f>O5+S5+W5+AB5+AG5+AL5+AQ5+AV5+BA5+BF5+BK5</f>
        <v>8898.8099999999977</v>
      </c>
      <c r="BM5" s="98">
        <v>15</v>
      </c>
      <c r="BN5" s="3">
        <v>1.75</v>
      </c>
      <c r="BO5" s="98">
        <f t="shared" si="20"/>
        <v>26.25</v>
      </c>
      <c r="BP5" s="100">
        <f t="shared" si="21"/>
        <v>8925.0599999999977</v>
      </c>
      <c r="BQ5" s="231"/>
      <c r="BR5" s="231"/>
      <c r="BS5" s="231"/>
      <c r="BT5" s="231"/>
      <c r="BU5" s="231"/>
      <c r="BV5" s="231"/>
    </row>
    <row r="6" spans="1:77" ht="50.25" customHeight="1" x14ac:dyDescent="0.3">
      <c r="A6" t="s">
        <v>79</v>
      </c>
      <c r="B6" s="9" t="s">
        <v>137</v>
      </c>
      <c r="C6" s="8">
        <f>'BASE DONNÉES'!B6</f>
        <v>200</v>
      </c>
      <c r="D6" s="8">
        <f>'BASE DONNÉES'!C6</f>
        <v>150</v>
      </c>
      <c r="E6" s="7">
        <f>'BASE DONNÉES'!E6</f>
        <v>3000</v>
      </c>
      <c r="F6" s="27">
        <f>'BASE DONNÉES'!W6</f>
        <v>4.3817609201697936</v>
      </c>
      <c r="G6" s="7">
        <f>'BASE DONNÉES'!G6</f>
        <v>1673.3200530681511</v>
      </c>
      <c r="H6" s="7">
        <f>'BASE DONNÉES'!H6</f>
        <v>2928.3100928692643</v>
      </c>
      <c r="I6" s="7">
        <f>'BASE DONNÉES'!N6</f>
        <v>8366.6002653407559</v>
      </c>
      <c r="J6" s="7">
        <f>'BASE DONNÉES'!O6</f>
        <v>8784.9302786077933</v>
      </c>
      <c r="K6" s="6">
        <f>K5</f>
        <v>7.5</v>
      </c>
      <c r="L6" s="13">
        <f>'BASE DONNÉES'!AR6</f>
        <v>4.5</v>
      </c>
      <c r="M6" s="46">
        <f>G6/K6</f>
        <v>223.1093404090868</v>
      </c>
      <c r="N6" s="92">
        <f>ROUNDUP(M6,0)</f>
        <v>224</v>
      </c>
      <c r="O6" s="37">
        <f t="shared" si="22"/>
        <v>1008</v>
      </c>
      <c r="P6" s="10">
        <f>'BASE DONNÉES'!AU6</f>
        <v>113.99</v>
      </c>
      <c r="Q6" s="93">
        <v>0</v>
      </c>
      <c r="R6" s="94">
        <v>0</v>
      </c>
      <c r="S6" s="30">
        <f t="shared" si="18"/>
        <v>0</v>
      </c>
      <c r="T6" s="13">
        <f>'BASE DONNÉES'!AI6</f>
        <v>191.98</v>
      </c>
      <c r="U6" s="95">
        <f>'BASE DONNÉES'!P6</f>
        <v>16.733200530681511</v>
      </c>
      <c r="V6" s="96">
        <f t="shared" si="0"/>
        <v>17</v>
      </c>
      <c r="W6" s="31">
        <f t="shared" si="1"/>
        <v>3263.66</v>
      </c>
      <c r="X6" s="18">
        <f t="shared" si="2"/>
        <v>3212.4398378802362</v>
      </c>
      <c r="Y6" s="13">
        <f>'BASE DONNÉES'!AJ6</f>
        <v>53.99</v>
      </c>
      <c r="Z6" s="47">
        <v>0</v>
      </c>
      <c r="AA6" s="48">
        <f t="shared" si="23"/>
        <v>0</v>
      </c>
      <c r="AB6" s="34">
        <f t="shared" si="24"/>
        <v>0</v>
      </c>
      <c r="AC6" s="17">
        <f t="shared" si="3"/>
        <v>0</v>
      </c>
      <c r="AD6" s="13">
        <f>'BASE DONNÉES'!AL6</f>
        <v>122.99</v>
      </c>
      <c r="AE6" s="47">
        <v>0</v>
      </c>
      <c r="AF6" s="48">
        <f t="shared" ref="AF6:AF9" si="26">ROUNDUP(AE6,0)</f>
        <v>0</v>
      </c>
      <c r="AG6" s="34">
        <f t="shared" si="4"/>
        <v>0</v>
      </c>
      <c r="AH6" s="17">
        <f t="shared" si="5"/>
        <v>0</v>
      </c>
      <c r="AI6" s="13">
        <f>'BASE DONNÉES'!AM6</f>
        <v>23.99</v>
      </c>
      <c r="AJ6" s="35">
        <v>0</v>
      </c>
      <c r="AK6" s="36">
        <f t="shared" si="19"/>
        <v>0</v>
      </c>
      <c r="AL6" s="97">
        <f t="shared" si="6"/>
        <v>0</v>
      </c>
      <c r="AM6" s="17">
        <f t="shared" si="7"/>
        <v>0</v>
      </c>
      <c r="AN6" s="13">
        <f>'BASE DONNÉES'!AN6</f>
        <v>16.29</v>
      </c>
      <c r="AO6" s="47">
        <f>Q6*3*10/100</f>
        <v>0</v>
      </c>
      <c r="AP6" s="34">
        <f t="shared" si="25"/>
        <v>0</v>
      </c>
      <c r="AQ6" s="34">
        <f t="shared" si="8"/>
        <v>0</v>
      </c>
      <c r="AR6" s="17">
        <f t="shared" si="9"/>
        <v>0</v>
      </c>
      <c r="AS6" s="19">
        <f>'BASE DONNÉES'!AQ6</f>
        <v>12.99</v>
      </c>
      <c r="AT6" s="24">
        <v>0</v>
      </c>
      <c r="AU6" s="48">
        <v>0</v>
      </c>
      <c r="AV6" s="34">
        <f t="shared" si="10"/>
        <v>0</v>
      </c>
      <c r="AW6" s="21">
        <f>AS6*AT6</f>
        <v>0</v>
      </c>
      <c r="AX6" s="22">
        <f>'BASE DONNÉES'!AP6</f>
        <v>22.98</v>
      </c>
      <c r="AY6" s="50">
        <f>('BASE DONNÉES'!P6*'BASE DONNÉES'!W6)/8</f>
        <v>9.1651105193380875</v>
      </c>
      <c r="AZ6" s="48">
        <f>ROUNDUP(AY6,0)</f>
        <v>10</v>
      </c>
      <c r="BA6" s="34">
        <f>AX6*AZ6</f>
        <v>229.8</v>
      </c>
      <c r="BB6" s="26">
        <f>AX6*AY6</f>
        <v>210.61423973438926</v>
      </c>
      <c r="BC6" s="19">
        <f>'BASE DONNÉES'!AK6</f>
        <v>11.99</v>
      </c>
      <c r="BD6" s="22">
        <v>0</v>
      </c>
      <c r="BE6" s="36">
        <v>0</v>
      </c>
      <c r="BF6" s="34">
        <f t="shared" si="15"/>
        <v>0</v>
      </c>
      <c r="BG6" s="19">
        <f>'BASE DONNÉES'!Y6</f>
        <v>15</v>
      </c>
      <c r="BH6" s="53">
        <v>10.5</v>
      </c>
      <c r="BI6" s="54">
        <f>'BASE DONNÉES'!P6*'BASE DONNÉES'!AA2</f>
        <v>175.69860557215586</v>
      </c>
      <c r="BJ6" s="48">
        <f t="shared" si="16"/>
        <v>176</v>
      </c>
      <c r="BK6" s="34">
        <f>BJ6*15</f>
        <v>2640</v>
      </c>
      <c r="BL6" s="100">
        <f>O6+W6+BA6+BK6</f>
        <v>7141.46</v>
      </c>
      <c r="BM6" s="98">
        <v>15</v>
      </c>
      <c r="BN6" s="3">
        <v>3.5</v>
      </c>
      <c r="BO6" s="98">
        <f t="shared" si="20"/>
        <v>52.5</v>
      </c>
      <c r="BP6" s="100">
        <f t="shared" si="21"/>
        <v>7193.96</v>
      </c>
      <c r="BQ6" s="231"/>
      <c r="BR6" s="231"/>
      <c r="BS6" s="231"/>
      <c r="BT6" s="231"/>
      <c r="BU6" s="231"/>
      <c r="BV6" s="231"/>
    </row>
    <row r="7" spans="1:77" ht="45" customHeight="1" x14ac:dyDescent="0.3">
      <c r="A7" t="s">
        <v>80</v>
      </c>
      <c r="B7" s="9" t="s">
        <v>84</v>
      </c>
      <c r="C7" s="8">
        <f>'BASE DONNÉES'!B7</f>
        <v>200</v>
      </c>
      <c r="D7" s="8">
        <f>'BASE DONNÉES'!C7</f>
        <v>150</v>
      </c>
      <c r="E7" s="7">
        <f>'BASE DONNÉES'!E7</f>
        <v>3000</v>
      </c>
      <c r="F7" s="27">
        <f>'BASE DONNÉES'!W7</f>
        <v>4.3817609201697936</v>
      </c>
      <c r="G7" s="7">
        <f>'BASE DONNÉES'!G7</f>
        <v>1673.3200530681511</v>
      </c>
      <c r="H7" s="7">
        <f>'BASE DONNÉES'!H7</f>
        <v>2928.3100928692643</v>
      </c>
      <c r="I7" s="7">
        <f>'BASE DONNÉES'!N7</f>
        <v>8366.6002653407559</v>
      </c>
      <c r="J7" s="7">
        <f>'BASE DONNÉES'!O7</f>
        <v>8784.9302786077933</v>
      </c>
      <c r="K7" s="6">
        <v>3.6</v>
      </c>
      <c r="L7" s="13">
        <f>'BASE DONNÉES'!AR7</f>
        <v>4.5</v>
      </c>
      <c r="M7" s="46">
        <v>0</v>
      </c>
      <c r="N7" s="92">
        <v>0</v>
      </c>
      <c r="O7" s="37">
        <f t="shared" si="22"/>
        <v>0</v>
      </c>
      <c r="P7" s="10">
        <f>'BASE DONNÉES'!AU7</f>
        <v>113.99</v>
      </c>
      <c r="Q7" s="93">
        <f>G7/K7/10</f>
        <v>46.48111258522642</v>
      </c>
      <c r="R7" s="94">
        <f>ROUNDUP(Q7,0)</f>
        <v>47</v>
      </c>
      <c r="S7" s="30">
        <f t="shared" si="18"/>
        <v>5357.53</v>
      </c>
      <c r="T7" s="13">
        <f>'BASE DONNÉES'!AI7</f>
        <v>191.98</v>
      </c>
      <c r="U7" s="95">
        <f>'BASE DONNÉES'!P7</f>
        <v>16.733200530681511</v>
      </c>
      <c r="V7" s="96">
        <f t="shared" si="0"/>
        <v>17</v>
      </c>
      <c r="W7" s="31">
        <f t="shared" si="1"/>
        <v>3263.66</v>
      </c>
      <c r="X7" s="18">
        <f t="shared" si="2"/>
        <v>3212.4398378802362</v>
      </c>
      <c r="Y7" s="13">
        <f>'BASE DONNÉES'!AJ7</f>
        <v>53.99</v>
      </c>
      <c r="Z7" s="47">
        <v>0</v>
      </c>
      <c r="AA7" s="48">
        <f t="shared" si="23"/>
        <v>0</v>
      </c>
      <c r="AB7" s="34">
        <f t="shared" si="24"/>
        <v>0</v>
      </c>
      <c r="AC7" s="17">
        <f t="shared" si="3"/>
        <v>0</v>
      </c>
      <c r="AD7" s="13">
        <f>'BASE DONNÉES'!AL7</f>
        <v>122.99</v>
      </c>
      <c r="AE7" s="47">
        <v>0</v>
      </c>
      <c r="AF7" s="48">
        <f t="shared" si="26"/>
        <v>0</v>
      </c>
      <c r="AG7" s="34">
        <f t="shared" si="4"/>
        <v>0</v>
      </c>
      <c r="AH7" s="17">
        <f t="shared" si="5"/>
        <v>0</v>
      </c>
      <c r="AI7" s="13">
        <f>'BASE DONNÉES'!AM7</f>
        <v>23.99</v>
      </c>
      <c r="AJ7" s="35">
        <v>0</v>
      </c>
      <c r="AK7" s="36">
        <f t="shared" si="19"/>
        <v>0</v>
      </c>
      <c r="AL7" s="97">
        <f t="shared" si="6"/>
        <v>0</v>
      </c>
      <c r="AM7" s="17">
        <f t="shared" si="7"/>
        <v>0</v>
      </c>
      <c r="AN7" s="13">
        <f>'BASE DONNÉES'!AN7</f>
        <v>16.29</v>
      </c>
      <c r="AO7" s="35">
        <f>(Q7)*10*9/100</f>
        <v>41.83300132670378</v>
      </c>
      <c r="AP7" s="34">
        <f t="shared" si="25"/>
        <v>42</v>
      </c>
      <c r="AQ7" s="34">
        <f t="shared" si="8"/>
        <v>684.18</v>
      </c>
      <c r="AR7" s="17">
        <f>AN7*AO7</f>
        <v>681.45959161200449</v>
      </c>
      <c r="AS7" s="19">
        <f>'BASE DONNÉES'!AQ7</f>
        <v>12.99</v>
      </c>
      <c r="AT7" s="24">
        <v>0</v>
      </c>
      <c r="AU7" s="48">
        <v>0</v>
      </c>
      <c r="AV7" s="34">
        <f t="shared" si="10"/>
        <v>0</v>
      </c>
      <c r="AW7" s="21">
        <f t="shared" ref="AW7:AW9" si="27">AS7*AT7</f>
        <v>0</v>
      </c>
      <c r="AX7" s="22">
        <f>'BASE DONNÉES'!AP7</f>
        <v>22.98</v>
      </c>
      <c r="AY7" s="50">
        <v>0</v>
      </c>
      <c r="AZ7" s="48">
        <f>ROUNDUP(AY7,0)</f>
        <v>0</v>
      </c>
      <c r="BA7" s="34">
        <f t="shared" ref="BA7:BA9" si="28">AX7*AZ7</f>
        <v>0</v>
      </c>
      <c r="BB7" s="26">
        <f t="shared" ref="BB7:BB9" si="29">AX7*AY7</f>
        <v>0</v>
      </c>
      <c r="BC7" s="19">
        <f>'BASE DONNÉES'!AK7</f>
        <v>11.99</v>
      </c>
      <c r="BD7" s="22">
        <v>0</v>
      </c>
      <c r="BE7" s="36">
        <v>0</v>
      </c>
      <c r="BF7" s="34">
        <f t="shared" si="15"/>
        <v>0</v>
      </c>
      <c r="BG7" s="19">
        <f>'BASE DONNÉES'!Y7</f>
        <v>15</v>
      </c>
      <c r="BH7" s="54">
        <f>'BASE DONNÉES'!AC7</f>
        <v>5.25</v>
      </c>
      <c r="BI7" s="26">
        <f>BH7*('BASE DONNÉES'!P7)</f>
        <v>87.849302786077928</v>
      </c>
      <c r="BJ7" s="48">
        <f t="shared" si="16"/>
        <v>88</v>
      </c>
      <c r="BK7" s="34">
        <f t="shared" si="17"/>
        <v>1320</v>
      </c>
      <c r="BL7" s="100">
        <f>O7+S7+W7+AB7+AG7+AL7+AQ7+AV7+BA7+BF7+BK7</f>
        <v>10625.369999999999</v>
      </c>
      <c r="BM7" s="98">
        <v>15</v>
      </c>
      <c r="BN7" s="3">
        <v>2.5</v>
      </c>
      <c r="BO7" s="98">
        <f t="shared" si="20"/>
        <v>37.5</v>
      </c>
      <c r="BP7" s="100">
        <f t="shared" si="21"/>
        <v>10662.869999999999</v>
      </c>
      <c r="BQ7" s="231"/>
      <c r="BR7" s="231"/>
      <c r="BS7" s="231"/>
      <c r="BT7" s="231"/>
      <c r="BU7" s="231"/>
      <c r="BV7" s="231"/>
    </row>
    <row r="8" spans="1:77" ht="28.8" x14ac:dyDescent="0.3">
      <c r="A8" t="s">
        <v>85</v>
      </c>
      <c r="B8" s="9" t="s">
        <v>86</v>
      </c>
      <c r="C8" s="8">
        <f>'BASE DONNÉES'!B8</f>
        <v>200</v>
      </c>
      <c r="D8" s="8">
        <f>'BASE DONNÉES'!C8</f>
        <v>150</v>
      </c>
      <c r="E8" s="7">
        <f>'BASE DONNÉES'!E8</f>
        <v>3000</v>
      </c>
      <c r="F8" s="27">
        <f>'BASE DONNÉES'!W8</f>
        <v>4.3817609201697936</v>
      </c>
      <c r="G8" s="7">
        <f>'BASE DONNÉES'!G8</f>
        <v>1673.3200530681511</v>
      </c>
      <c r="H8" s="7">
        <f>'BASE DONNÉES'!H8</f>
        <v>2928.3100928692643</v>
      </c>
      <c r="I8" s="7">
        <f>'BASE DONNÉES'!N8</f>
        <v>8366.6002653407559</v>
      </c>
      <c r="J8" s="7">
        <f>'BASE DONNÉES'!O8</f>
        <v>8784.9302786077933</v>
      </c>
      <c r="K8" s="6">
        <v>7.5</v>
      </c>
      <c r="L8" s="13">
        <f>'BASE DONNÉES'!AR8</f>
        <v>4.5</v>
      </c>
      <c r="M8" s="46">
        <f>H8/K8</f>
        <v>390.44134571590189</v>
      </c>
      <c r="N8" s="92">
        <f>ROUNDUP(M8,0)</f>
        <v>391</v>
      </c>
      <c r="O8" s="37">
        <f t="shared" si="22"/>
        <v>1759.5</v>
      </c>
      <c r="P8" s="10">
        <f>'BASE DONNÉES'!AU8</f>
        <v>113.99</v>
      </c>
      <c r="Q8" s="93">
        <v>0</v>
      </c>
      <c r="R8" s="94">
        <v>0</v>
      </c>
      <c r="S8" s="30">
        <f t="shared" si="18"/>
        <v>0</v>
      </c>
      <c r="T8" s="13">
        <f>'BASE DONNÉES'!AI8</f>
        <v>191.98</v>
      </c>
      <c r="U8" s="95">
        <f>H8/100</f>
        <v>29.283100928692644</v>
      </c>
      <c r="V8" s="96">
        <f t="shared" si="0"/>
        <v>30</v>
      </c>
      <c r="W8" s="31">
        <f t="shared" si="1"/>
        <v>5759.4</v>
      </c>
      <c r="X8" s="18">
        <f t="shared" si="2"/>
        <v>5621.7697162904133</v>
      </c>
      <c r="Y8" s="13">
        <f>'BASE DONNÉES'!AJ8</f>
        <v>53.99</v>
      </c>
      <c r="Z8" s="47">
        <v>0</v>
      </c>
      <c r="AA8" s="48">
        <f t="shared" si="23"/>
        <v>0</v>
      </c>
      <c r="AB8" s="34">
        <f t="shared" si="24"/>
        <v>0</v>
      </c>
      <c r="AC8" s="17">
        <f t="shared" si="3"/>
        <v>0</v>
      </c>
      <c r="AD8" s="13">
        <f>'BASE DONNÉES'!AL8</f>
        <v>122.99</v>
      </c>
      <c r="AE8" s="47">
        <v>0</v>
      </c>
      <c r="AF8" s="48">
        <f t="shared" si="26"/>
        <v>0</v>
      </c>
      <c r="AG8" s="34">
        <f t="shared" si="4"/>
        <v>0</v>
      </c>
      <c r="AH8" s="17">
        <f t="shared" si="5"/>
        <v>0</v>
      </c>
      <c r="AI8" s="13">
        <f>'BASE DONNÉES'!AM8</f>
        <v>23.99</v>
      </c>
      <c r="AJ8" s="35">
        <v>0</v>
      </c>
      <c r="AK8" s="36">
        <f t="shared" si="19"/>
        <v>0</v>
      </c>
      <c r="AL8" s="97">
        <f t="shared" si="6"/>
        <v>0</v>
      </c>
      <c r="AM8" s="17">
        <f t="shared" si="7"/>
        <v>0</v>
      </c>
      <c r="AN8" s="13">
        <f>'BASE DONNÉES'!AN8</f>
        <v>16.29</v>
      </c>
      <c r="AO8" s="35">
        <f>(Q8)*10*9/100</f>
        <v>0</v>
      </c>
      <c r="AP8" s="34">
        <f t="shared" si="25"/>
        <v>0</v>
      </c>
      <c r="AQ8" s="34">
        <f t="shared" si="8"/>
        <v>0</v>
      </c>
      <c r="AR8" s="17">
        <f t="shared" ref="AR8:AR9" si="30">AN8*AO8</f>
        <v>0</v>
      </c>
      <c r="AS8" s="19">
        <f>'BASE DONNÉES'!AQ8</f>
        <v>12.99</v>
      </c>
      <c r="AT8" s="24">
        <v>0</v>
      </c>
      <c r="AU8" s="48">
        <v>0</v>
      </c>
      <c r="AV8" s="34">
        <f t="shared" si="10"/>
        <v>0</v>
      </c>
      <c r="AW8" s="21">
        <f t="shared" si="27"/>
        <v>0</v>
      </c>
      <c r="AX8" s="22">
        <f>'BASE DONNÉES'!AP8</f>
        <v>22.98</v>
      </c>
      <c r="AY8" s="50">
        <f>H8/100*F8/8</f>
        <v>16.038943408841654</v>
      </c>
      <c r="AZ8" s="48">
        <f>ROUNDUP(AY8,0)</f>
        <v>17</v>
      </c>
      <c r="BA8" s="34">
        <f t="shared" si="28"/>
        <v>390.66</v>
      </c>
      <c r="BB8" s="26">
        <f t="shared" si="29"/>
        <v>368.57491953518121</v>
      </c>
      <c r="BC8" s="19">
        <f>'BASE DONNÉES'!AK8</f>
        <v>11.99</v>
      </c>
      <c r="BD8" s="22">
        <v>0</v>
      </c>
      <c r="BE8" s="36">
        <v>0</v>
      </c>
      <c r="BF8" s="34">
        <f t="shared" si="15"/>
        <v>0</v>
      </c>
      <c r="BG8" s="19">
        <f>'BASE DONNÉES'!Y8</f>
        <v>15</v>
      </c>
      <c r="BH8" s="54">
        <f>'BASE DONNÉES'!AC8</f>
        <v>5.25</v>
      </c>
      <c r="BI8" s="54">
        <f>'BASE DONNÉES'!Q8*'BASE DONNÉES'!AB8</f>
        <v>307.47255975127274</v>
      </c>
      <c r="BJ8" s="48">
        <f t="shared" si="16"/>
        <v>308</v>
      </c>
      <c r="BK8" s="34">
        <f t="shared" si="17"/>
        <v>4620</v>
      </c>
      <c r="BL8" s="100">
        <f>O8+S8+W8+AB8+AG8+AL8+AQ8+AV8+BA8+BF8+BK8</f>
        <v>12529.56</v>
      </c>
      <c r="BM8" s="98">
        <v>15</v>
      </c>
      <c r="BN8" s="3">
        <v>3.5</v>
      </c>
      <c r="BO8" s="98">
        <f t="shared" si="20"/>
        <v>52.5</v>
      </c>
      <c r="BP8" s="100">
        <f t="shared" si="21"/>
        <v>12582.06</v>
      </c>
      <c r="BQ8" s="231"/>
      <c r="BR8" s="231"/>
      <c r="BS8" s="231"/>
      <c r="BT8" s="231"/>
      <c r="BU8" s="231"/>
      <c r="BV8" s="231"/>
    </row>
    <row r="9" spans="1:77" ht="43.2" x14ac:dyDescent="0.3">
      <c r="A9" t="s">
        <v>87</v>
      </c>
      <c r="B9" s="9" t="s">
        <v>88</v>
      </c>
      <c r="C9" s="8">
        <f>'BASE DONNÉES'!B9</f>
        <v>200</v>
      </c>
      <c r="D9" s="8">
        <f>'BASE DONNÉES'!C9</f>
        <v>150</v>
      </c>
      <c r="E9" s="7">
        <f>'BASE DONNÉES'!E9</f>
        <v>3000</v>
      </c>
      <c r="F9" s="27">
        <f>'BASE DONNÉES'!W9</f>
        <v>4.3817609201697936</v>
      </c>
      <c r="G9" s="7">
        <f>'BASE DONNÉES'!G9</f>
        <v>1673.3200530681511</v>
      </c>
      <c r="H9" s="7">
        <f>'BASE DONNÉES'!H9</f>
        <v>2928.3100928692643</v>
      </c>
      <c r="I9" s="7">
        <f>'BASE DONNÉES'!N9</f>
        <v>8366.6002653407559</v>
      </c>
      <c r="J9" s="7">
        <f>'BASE DONNÉES'!O9</f>
        <v>8784.9302786077933</v>
      </c>
      <c r="K9" s="6">
        <f>'BASE DONNÉES'!T9</f>
        <v>7.34</v>
      </c>
      <c r="L9" s="13">
        <f>'BASE DONNÉES'!AR9</f>
        <v>4.5</v>
      </c>
      <c r="M9" s="46">
        <v>0</v>
      </c>
      <c r="N9" s="92">
        <v>0</v>
      </c>
      <c r="O9" s="37">
        <f t="shared" si="22"/>
        <v>0</v>
      </c>
      <c r="P9" s="10">
        <f>'BASE DONNÉES'!AU9</f>
        <v>113.99</v>
      </c>
      <c r="Q9" s="93">
        <f>(H9/'BASE DONNÉES'!V8)/10</f>
        <v>81.341947024146222</v>
      </c>
      <c r="R9" s="94">
        <f>ROUNDUP(Q9,0)</f>
        <v>82</v>
      </c>
      <c r="S9" s="30">
        <f t="shared" si="18"/>
        <v>9347.18</v>
      </c>
      <c r="T9" s="13">
        <f>'BASE DONNÉES'!AI9</f>
        <v>191.98</v>
      </c>
      <c r="U9" s="95">
        <f>'BASE DONNÉES'!Q9</f>
        <v>29.283100928692644</v>
      </c>
      <c r="V9" s="96">
        <f t="shared" si="0"/>
        <v>30</v>
      </c>
      <c r="W9" s="31">
        <f t="shared" si="1"/>
        <v>5759.4</v>
      </c>
      <c r="X9" s="18">
        <f>(U9*T9)</f>
        <v>5621.7697162904133</v>
      </c>
      <c r="Y9" s="13">
        <f>'BASE DONNÉES'!AJ9</f>
        <v>53.99</v>
      </c>
      <c r="Z9" s="47">
        <v>0</v>
      </c>
      <c r="AA9" s="48">
        <f t="shared" si="23"/>
        <v>0</v>
      </c>
      <c r="AB9" s="34">
        <f t="shared" si="24"/>
        <v>0</v>
      </c>
      <c r="AC9" s="17">
        <f t="shared" si="3"/>
        <v>0</v>
      </c>
      <c r="AD9" s="13">
        <f>'BASE DONNÉES'!AL9</f>
        <v>122.99</v>
      </c>
      <c r="AE9" s="47">
        <v>0</v>
      </c>
      <c r="AF9" s="48">
        <f t="shared" si="26"/>
        <v>0</v>
      </c>
      <c r="AG9" s="34">
        <f t="shared" si="4"/>
        <v>0</v>
      </c>
      <c r="AH9" s="17">
        <f t="shared" si="5"/>
        <v>0</v>
      </c>
      <c r="AI9" s="13">
        <f>'BASE DONNÉES'!AM9</f>
        <v>23.99</v>
      </c>
      <c r="AJ9" s="35">
        <v>0</v>
      </c>
      <c r="AK9" s="36">
        <f t="shared" si="19"/>
        <v>0</v>
      </c>
      <c r="AL9" s="97">
        <f t="shared" si="6"/>
        <v>0</v>
      </c>
      <c r="AM9" s="17">
        <f>AI9*AJ9</f>
        <v>0</v>
      </c>
      <c r="AN9" s="13">
        <f>'BASE DONNÉES'!AN9</f>
        <v>16.29</v>
      </c>
      <c r="AO9" s="35">
        <f>(Q9)*10*9/100</f>
        <v>73.207752321731604</v>
      </c>
      <c r="AP9" s="34">
        <f t="shared" si="25"/>
        <v>74</v>
      </c>
      <c r="AQ9" s="34">
        <f t="shared" si="8"/>
        <v>1205.46</v>
      </c>
      <c r="AR9" s="17">
        <f t="shared" si="30"/>
        <v>1192.5542853210077</v>
      </c>
      <c r="AS9" s="19">
        <f>'BASE DONNÉES'!AQ9</f>
        <v>12.99</v>
      </c>
      <c r="AT9" s="24">
        <v>0</v>
      </c>
      <c r="AU9" s="48">
        <v>0</v>
      </c>
      <c r="AV9" s="34">
        <f t="shared" si="10"/>
        <v>0</v>
      </c>
      <c r="AW9" s="21">
        <f t="shared" si="27"/>
        <v>0</v>
      </c>
      <c r="AX9" s="22">
        <f>'BASE DONNÉES'!AP9</f>
        <v>22.98</v>
      </c>
      <c r="AY9" s="28">
        <v>0</v>
      </c>
      <c r="AZ9" s="48">
        <v>0</v>
      </c>
      <c r="BA9" s="34">
        <f t="shared" si="28"/>
        <v>0</v>
      </c>
      <c r="BB9" s="26">
        <f t="shared" si="29"/>
        <v>0</v>
      </c>
      <c r="BC9" s="19">
        <f>'BASE DONNÉES'!AK9</f>
        <v>11.99</v>
      </c>
      <c r="BD9" s="22">
        <v>0</v>
      </c>
      <c r="BE9" s="36">
        <v>0</v>
      </c>
      <c r="BF9" s="34">
        <f t="shared" si="15"/>
        <v>0</v>
      </c>
      <c r="BG9" s="19">
        <f>'BASE DONNÉES'!Y9</f>
        <v>15</v>
      </c>
      <c r="BH9" s="54">
        <f>'BASE DONNÉES'!AC9</f>
        <v>5.25</v>
      </c>
      <c r="BI9" s="54">
        <f>'BASE DONNÉES'!Q9*'BASE DONNÉES'!AC9</f>
        <v>153.73627987563637</v>
      </c>
      <c r="BJ9" s="48">
        <f t="shared" si="16"/>
        <v>154</v>
      </c>
      <c r="BK9" s="34">
        <f t="shared" si="17"/>
        <v>2310</v>
      </c>
      <c r="BL9" s="100">
        <f>O9+S9+W9+AB9+AG9+AL9+AQ9+AV9+BA9+BF9+BK9</f>
        <v>18622.04</v>
      </c>
      <c r="BM9" s="98">
        <v>15</v>
      </c>
      <c r="BN9" s="3">
        <v>4.375</v>
      </c>
      <c r="BO9" s="98">
        <f t="shared" si="20"/>
        <v>65.625</v>
      </c>
      <c r="BP9" s="100">
        <f t="shared" si="21"/>
        <v>18687.665000000001</v>
      </c>
      <c r="BQ9" s="231"/>
      <c r="BR9" s="231"/>
      <c r="BS9" s="231"/>
      <c r="BT9" s="231"/>
      <c r="BU9" s="231"/>
      <c r="BV9" s="231"/>
    </row>
    <row r="10" spans="1:77" ht="42" customHeight="1" x14ac:dyDescent="0.3">
      <c r="A10" t="s">
        <v>223</v>
      </c>
      <c r="B10" s="229" t="s">
        <v>270</v>
      </c>
      <c r="C10" s="8">
        <f>'BASE DONNÉES'!B10</f>
        <v>100</v>
      </c>
      <c r="D10" s="8">
        <f>'BASE DONNÉES'!C10</f>
        <v>150</v>
      </c>
      <c r="E10" s="7">
        <f>'BASE DONNÉES'!E10</f>
        <v>3000</v>
      </c>
      <c r="G10" s="7">
        <f>'BASE DONNÉES'!G10</f>
        <v>1673.3200530681511</v>
      </c>
      <c r="H10" s="257">
        <f>'BASE DONNÉES'!H10</f>
        <v>2070.6279240848658</v>
      </c>
      <c r="K10" s="6">
        <f>'BASE DONNÉES'!AW10</f>
        <v>5.71</v>
      </c>
      <c r="L10" s="244"/>
      <c r="M10" s="15">
        <f>G10/K10</f>
        <v>293.05079738496516</v>
      </c>
      <c r="O10" s="37">
        <f>(ROUNDUP(M10,0))*10</f>
        <v>2940</v>
      </c>
      <c r="BL10" s="100">
        <f>O10+BT10+BV10+BW10+BX10</f>
        <v>12977.831009286927</v>
      </c>
      <c r="BM10" s="98">
        <v>15</v>
      </c>
      <c r="BN10" s="3">
        <v>3.5</v>
      </c>
      <c r="BO10" s="98">
        <f t="shared" si="20"/>
        <v>52.5</v>
      </c>
      <c r="BP10" s="100">
        <f t="shared" si="21"/>
        <v>13030.331009286927</v>
      </c>
      <c r="BQ10" s="242">
        <v>10</v>
      </c>
      <c r="BR10" s="242">
        <v>12</v>
      </c>
      <c r="BS10" s="243">
        <f>(G10/1000)*4</f>
        <v>6.6932802122726045</v>
      </c>
      <c r="BT10" s="231">
        <f>ROUNDDOWN(BS10,0)*BR10</f>
        <v>72</v>
      </c>
      <c r="BU10" s="243">
        <f>G10/100</f>
        <v>16.733200530681511</v>
      </c>
      <c r="BV10" s="241">
        <f>ROUNDUP(BU10,0)*569</f>
        <v>9673</v>
      </c>
      <c r="BW10" s="247">
        <f>(G10/100)*6.5</f>
        <v>108.76580344942982</v>
      </c>
      <c r="BX10" s="248">
        <f>(G10/100)*5.5*2</f>
        <v>184.06520583749662</v>
      </c>
      <c r="BY10" s="230"/>
    </row>
  </sheetData>
  <sheetProtection password="E52D" sheet="1" objects="1" scenarios="1" selectLockedCells="1" selectUnlockedCells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A1:BE13"/>
  <sheetViews>
    <sheetView workbookViewId="0">
      <selection activeCell="A12" sqref="A12"/>
    </sheetView>
  </sheetViews>
  <sheetFormatPr baseColWidth="10" defaultRowHeight="14.4" x14ac:dyDescent="0.3"/>
  <cols>
    <col min="1" max="1" width="9.44140625" bestFit="1" customWidth="1"/>
    <col min="2" max="2" width="5.44140625" style="4" bestFit="1" customWidth="1"/>
    <col min="3" max="3" width="17.88671875" style="3" customWidth="1"/>
    <col min="4" max="4" width="17.88671875" style="5" customWidth="1"/>
    <col min="5" max="5" width="17.88671875" style="3" customWidth="1"/>
    <col min="6" max="6" width="17.88671875" customWidth="1"/>
    <col min="7" max="12" width="17.88671875" style="3" customWidth="1"/>
    <col min="13" max="22" width="17.88671875" style="55" customWidth="1"/>
    <col min="23" max="23" width="17.88671875" style="3" customWidth="1"/>
    <col min="24" max="32" width="17.88671875" style="56" customWidth="1"/>
    <col min="33" max="33" width="13.88671875" style="3" bestFit="1" customWidth="1"/>
    <col min="34" max="34" width="20.88671875" customWidth="1"/>
    <col min="35" max="35" width="18" customWidth="1"/>
    <col min="37" max="37" width="14" customWidth="1"/>
    <col min="38" max="38" width="14.44140625" customWidth="1"/>
    <col min="43" max="43" width="14.109375" customWidth="1"/>
    <col min="44" max="44" width="11.6640625" customWidth="1"/>
    <col min="45" max="45" width="13" customWidth="1"/>
    <col min="47" max="47" width="14" customWidth="1"/>
  </cols>
  <sheetData>
    <row r="1" spans="1:57" s="11" customFormat="1" ht="213" customHeight="1" thickBot="1" x14ac:dyDescent="0.4">
      <c r="A1" s="66" t="s">
        <v>97</v>
      </c>
      <c r="B1" s="67" t="s">
        <v>0</v>
      </c>
      <c r="C1" s="67" t="s">
        <v>1</v>
      </c>
      <c r="D1" s="68" t="s">
        <v>2</v>
      </c>
      <c r="E1" s="67" t="s">
        <v>3</v>
      </c>
      <c r="F1" s="66" t="s">
        <v>4</v>
      </c>
      <c r="G1" s="67" t="s">
        <v>5</v>
      </c>
      <c r="H1" s="67" t="s">
        <v>6</v>
      </c>
      <c r="I1" s="67" t="s">
        <v>7</v>
      </c>
      <c r="J1" s="67" t="s">
        <v>8</v>
      </c>
      <c r="K1" s="67" t="s">
        <v>10</v>
      </c>
      <c r="L1" s="67" t="s">
        <v>9</v>
      </c>
      <c r="M1" s="76" t="s">
        <v>26</v>
      </c>
      <c r="N1" s="76" t="s">
        <v>27</v>
      </c>
      <c r="O1" s="76" t="s">
        <v>28</v>
      </c>
      <c r="P1" s="76" t="s">
        <v>29</v>
      </c>
      <c r="Q1" s="76" t="s">
        <v>30</v>
      </c>
      <c r="R1" s="79" t="s">
        <v>31</v>
      </c>
      <c r="S1" s="79" t="s">
        <v>32</v>
      </c>
      <c r="T1" s="82" t="s">
        <v>125</v>
      </c>
      <c r="U1" s="82" t="s">
        <v>126</v>
      </c>
      <c r="V1" s="82" t="s">
        <v>127</v>
      </c>
      <c r="W1" s="85" t="s">
        <v>128</v>
      </c>
      <c r="X1" s="61" t="s">
        <v>33</v>
      </c>
      <c r="Y1" s="61" t="s">
        <v>267</v>
      </c>
      <c r="Z1" s="61" t="s">
        <v>34</v>
      </c>
      <c r="AA1" s="61" t="s">
        <v>35</v>
      </c>
      <c r="AB1" s="61" t="s">
        <v>36</v>
      </c>
      <c r="AC1" s="61" t="s">
        <v>37</v>
      </c>
      <c r="AD1" s="61" t="s">
        <v>38</v>
      </c>
      <c r="AE1" s="61" t="s">
        <v>39</v>
      </c>
      <c r="AF1" s="61" t="s">
        <v>40</v>
      </c>
      <c r="AG1" s="87" t="s">
        <v>11</v>
      </c>
      <c r="AH1" s="87" t="s">
        <v>12</v>
      </c>
      <c r="AI1" s="87" t="s">
        <v>13</v>
      </c>
      <c r="AJ1" s="87" t="s">
        <v>14</v>
      </c>
      <c r="AK1" s="87" t="s">
        <v>15</v>
      </c>
      <c r="AL1" s="87" t="s">
        <v>16</v>
      </c>
      <c r="AM1" s="87" t="s">
        <v>17</v>
      </c>
      <c r="AN1" s="87" t="s">
        <v>18</v>
      </c>
      <c r="AO1" s="87" t="s">
        <v>19</v>
      </c>
      <c r="AP1" s="88" t="s">
        <v>20</v>
      </c>
      <c r="AQ1" s="87" t="s">
        <v>21</v>
      </c>
      <c r="AR1" s="87" t="s">
        <v>22</v>
      </c>
      <c r="AS1" s="87" t="s">
        <v>23</v>
      </c>
      <c r="AT1" s="87" t="s">
        <v>24</v>
      </c>
      <c r="AU1" s="87" t="s">
        <v>25</v>
      </c>
      <c r="AV1" s="87" t="s">
        <v>271</v>
      </c>
      <c r="AW1" s="87" t="s">
        <v>269</v>
      </c>
      <c r="AX1" s="87" t="s">
        <v>274</v>
      </c>
      <c r="AY1" s="234" t="s">
        <v>275</v>
      </c>
      <c r="AZ1" s="234" t="s">
        <v>280</v>
      </c>
      <c r="BA1" s="234" t="s">
        <v>273</v>
      </c>
      <c r="BB1" s="61" t="s">
        <v>272</v>
      </c>
      <c r="BC1" s="61" t="s">
        <v>268</v>
      </c>
      <c r="BD1" s="61" t="s">
        <v>276</v>
      </c>
    </row>
    <row r="2" spans="1:57" ht="18.75" thickTop="1" thickBot="1" x14ac:dyDescent="0.35">
      <c r="A2" s="69" t="s">
        <v>75</v>
      </c>
      <c r="B2" s="66">
        <f>'FORMULAIRE DE SAISIE'!D6</f>
        <v>200</v>
      </c>
      <c r="C2" s="70">
        <f>'FORMULAIRE DE SAISIE'!E6</f>
        <v>150</v>
      </c>
      <c r="D2" s="71">
        <f t="shared" ref="D2" si="0">B2*C2*1.75</f>
        <v>52500</v>
      </c>
      <c r="E2" s="72">
        <f>'FORMULAIRE DE SAISIE'!G6</f>
        <v>3000</v>
      </c>
      <c r="F2" s="73">
        <f>D2/E2</f>
        <v>17.5</v>
      </c>
      <c r="G2" s="72">
        <f>IF('FORMULAIRE DE SAISIE'!N6=0,SQRT(F2*10000)*4,'FORMULAIRE DE SAISIE'!N6)</f>
        <v>1673.3200530681511</v>
      </c>
      <c r="H2" s="72">
        <f>IF('FORMULAIRE DE SAISIE'!O6=0,(G2/4)*7,'FORMULAIRE DE SAISIE'!O6)</f>
        <v>2928.3100928692643</v>
      </c>
      <c r="I2" s="73">
        <f>E2/1000</f>
        <v>3</v>
      </c>
      <c r="J2" s="74">
        <f>I2*5</f>
        <v>15</v>
      </c>
      <c r="K2" s="75">
        <f>1366/J2</f>
        <v>91.066666666666663</v>
      </c>
      <c r="L2" s="74">
        <f>I2*4</f>
        <v>12</v>
      </c>
      <c r="M2" s="77">
        <f>G2</f>
        <v>1673.3200530681511</v>
      </c>
      <c r="N2" s="77">
        <f>M2*5</f>
        <v>8366.6002653407559</v>
      </c>
      <c r="O2" s="77">
        <f>H2*3</f>
        <v>8784.9302786077933</v>
      </c>
      <c r="P2" s="78">
        <f>M2/100</f>
        <v>16.733200530681511</v>
      </c>
      <c r="Q2" s="78">
        <f>H2/100</f>
        <v>29.283100928692644</v>
      </c>
      <c r="R2" s="80">
        <f>H2/100</f>
        <v>29.283100928692644</v>
      </c>
      <c r="S2" s="81">
        <f>M2/100</f>
        <v>16.733200530681511</v>
      </c>
      <c r="T2" s="83">
        <v>7.34</v>
      </c>
      <c r="U2" s="84">
        <v>7.5</v>
      </c>
      <c r="V2" s="84">
        <v>3.6</v>
      </c>
      <c r="W2" s="86">
        <f>(48)/10.9545</f>
        <v>4.3817609201697936</v>
      </c>
      <c r="X2" s="62">
        <v>3</v>
      </c>
      <c r="Y2" s="63">
        <v>15</v>
      </c>
      <c r="Z2" s="64">
        <v>7.5</v>
      </c>
      <c r="AA2" s="64">
        <v>10.5</v>
      </c>
      <c r="AB2" s="64">
        <v>10.5</v>
      </c>
      <c r="AC2" s="64">
        <v>5.25</v>
      </c>
      <c r="AD2" s="64">
        <v>3.75</v>
      </c>
      <c r="AE2" s="64">
        <v>5.25</v>
      </c>
      <c r="AF2" s="65">
        <v>2</v>
      </c>
      <c r="AG2" s="89">
        <f>2520/L2</f>
        <v>210</v>
      </c>
      <c r="AH2" s="90">
        <v>113.99</v>
      </c>
      <c r="AI2" s="90">
        <v>191.98</v>
      </c>
      <c r="AJ2" s="90">
        <v>53.99</v>
      </c>
      <c r="AK2" s="90">
        <v>11.99</v>
      </c>
      <c r="AL2" s="90">
        <v>122.99</v>
      </c>
      <c r="AM2" s="90">
        <v>23.99</v>
      </c>
      <c r="AN2" s="90">
        <v>16.29</v>
      </c>
      <c r="AO2" s="90">
        <v>16.29</v>
      </c>
      <c r="AP2" s="90">
        <v>22.98</v>
      </c>
      <c r="AQ2" s="90">
        <v>12.99</v>
      </c>
      <c r="AR2" s="90">
        <v>4.5</v>
      </c>
      <c r="AS2" s="90">
        <v>4.5</v>
      </c>
      <c r="AT2" s="90">
        <v>4.5</v>
      </c>
      <c r="AU2" s="90">
        <v>113.99</v>
      </c>
      <c r="AV2" s="90"/>
      <c r="AW2" s="90"/>
      <c r="AX2" s="90"/>
      <c r="AY2" s="90"/>
      <c r="AZ2" s="90"/>
      <c r="BA2" s="90"/>
      <c r="BB2" s="90"/>
      <c r="BC2" s="90"/>
      <c r="BD2" s="90"/>
    </row>
    <row r="3" spans="1:57" ht="18.75" thickTop="1" thickBot="1" x14ac:dyDescent="0.35">
      <c r="A3" s="69" t="s">
        <v>76</v>
      </c>
      <c r="B3" s="66">
        <f>'FORMULAIRE DE SAISIE'!D6</f>
        <v>200</v>
      </c>
      <c r="C3" s="70">
        <f>'FORMULAIRE DE SAISIE'!E6</f>
        <v>150</v>
      </c>
      <c r="D3" s="71">
        <f t="shared" ref="D3:D9" si="1">B3*C3*1.75</f>
        <v>52500</v>
      </c>
      <c r="E3" s="72">
        <f>'FORMULAIRE DE SAISIE'!G6</f>
        <v>3000</v>
      </c>
      <c r="F3" s="73">
        <f t="shared" ref="F3:F9" si="2">D3/E3</f>
        <v>17.5</v>
      </c>
      <c r="G3" s="72">
        <f>IF('FORMULAIRE DE SAISIE'!N6=0,SQRT(F3*10000)*4,'FORMULAIRE DE SAISIE'!N6)</f>
        <v>1673.3200530681511</v>
      </c>
      <c r="H3" s="72">
        <f>IF('FORMULAIRE DE SAISIE'!O6=0,(G3/4)*7,'FORMULAIRE DE SAISIE'!O6)</f>
        <v>2928.3100928692643</v>
      </c>
      <c r="I3" s="73">
        <f t="shared" ref="I3:I9" si="3">E3/1000</f>
        <v>3</v>
      </c>
      <c r="J3" s="74">
        <f t="shared" ref="J3:J10" si="4">I3*5</f>
        <v>15</v>
      </c>
      <c r="K3" s="75">
        <f t="shared" ref="K3:K10" si="5">1366/J3</f>
        <v>91.066666666666663</v>
      </c>
      <c r="L3" s="74">
        <f t="shared" ref="L3:L10" si="6">I3*4</f>
        <v>12</v>
      </c>
      <c r="M3" s="77">
        <f t="shared" ref="M3:M9" si="7">G3</f>
        <v>1673.3200530681511</v>
      </c>
      <c r="N3" s="77">
        <f t="shared" ref="N3:N9" si="8">M3*5</f>
        <v>8366.6002653407559</v>
      </c>
      <c r="O3" s="77">
        <f t="shared" ref="O3:O9" si="9">H3*3</f>
        <v>8784.9302786077933</v>
      </c>
      <c r="P3" s="78">
        <f t="shared" ref="P3:P9" si="10">M3/100</f>
        <v>16.733200530681511</v>
      </c>
      <c r="Q3" s="78">
        <f t="shared" ref="Q3:Q9" si="11">H3/100</f>
        <v>29.283100928692644</v>
      </c>
      <c r="R3" s="80">
        <f t="shared" ref="R3:R9" si="12">H3/100</f>
        <v>29.283100928692644</v>
      </c>
      <c r="S3" s="81">
        <f t="shared" ref="S3:S9" si="13">M3/100</f>
        <v>16.733200530681511</v>
      </c>
      <c r="T3" s="83">
        <v>7.34</v>
      </c>
      <c r="U3" s="84">
        <v>7.5</v>
      </c>
      <c r="V3" s="84">
        <v>3.6</v>
      </c>
      <c r="W3" s="86">
        <f t="shared" ref="W3:W9" si="14">(48)/10.9545</f>
        <v>4.3817609201697936</v>
      </c>
      <c r="X3" s="62">
        <v>3</v>
      </c>
      <c r="Y3" s="63">
        <v>15</v>
      </c>
      <c r="Z3" s="64">
        <v>7.5</v>
      </c>
      <c r="AA3" s="64">
        <v>10.5</v>
      </c>
      <c r="AB3" s="64">
        <v>10.5</v>
      </c>
      <c r="AC3" s="64">
        <v>5.25</v>
      </c>
      <c r="AD3" s="64">
        <v>3.75</v>
      </c>
      <c r="AE3" s="64">
        <v>5.25</v>
      </c>
      <c r="AF3" s="65">
        <v>2</v>
      </c>
      <c r="AG3" s="89">
        <f t="shared" ref="AG3:AG10" si="15">2520/L3</f>
        <v>210</v>
      </c>
      <c r="AH3" s="90">
        <v>113.99</v>
      </c>
      <c r="AI3" s="90">
        <v>191.98</v>
      </c>
      <c r="AJ3" s="90">
        <v>53.99</v>
      </c>
      <c r="AK3" s="90">
        <v>11.99</v>
      </c>
      <c r="AL3" s="90">
        <v>122.99</v>
      </c>
      <c r="AM3" s="90">
        <v>23.99</v>
      </c>
      <c r="AN3" s="90">
        <v>16.29</v>
      </c>
      <c r="AO3" s="90">
        <v>16.29</v>
      </c>
      <c r="AP3" s="90">
        <v>22.98</v>
      </c>
      <c r="AQ3" s="90">
        <v>12.99</v>
      </c>
      <c r="AR3" s="90">
        <v>4.5</v>
      </c>
      <c r="AS3" s="90">
        <v>4.5</v>
      </c>
      <c r="AT3" s="90">
        <v>4.5</v>
      </c>
      <c r="AU3" s="90">
        <v>113.99</v>
      </c>
      <c r="AV3" s="90"/>
      <c r="AW3" s="90"/>
      <c r="AX3" s="90"/>
      <c r="AY3" s="90"/>
      <c r="AZ3" s="90"/>
      <c r="BA3" s="90"/>
      <c r="BB3" s="90"/>
      <c r="BC3" s="90"/>
      <c r="BD3" s="90"/>
    </row>
    <row r="4" spans="1:57" ht="18.75" thickTop="1" thickBot="1" x14ac:dyDescent="0.35">
      <c r="A4" s="69" t="s">
        <v>77</v>
      </c>
      <c r="B4" s="66">
        <f>'FORMULAIRE DE SAISIE'!D6</f>
        <v>200</v>
      </c>
      <c r="C4" s="70">
        <f>'FORMULAIRE DE SAISIE'!E6</f>
        <v>150</v>
      </c>
      <c r="D4" s="71">
        <f t="shared" si="1"/>
        <v>52500</v>
      </c>
      <c r="E4" s="72">
        <f>'FORMULAIRE DE SAISIE'!G6</f>
        <v>3000</v>
      </c>
      <c r="F4" s="73">
        <f t="shared" si="2"/>
        <v>17.5</v>
      </c>
      <c r="G4" s="72">
        <f>IF('FORMULAIRE DE SAISIE'!N6=0,SQRT(F4*10000)*4,'FORMULAIRE DE SAISIE'!N6)</f>
        <v>1673.3200530681511</v>
      </c>
      <c r="H4" s="72">
        <f>IF('FORMULAIRE DE SAISIE'!O6=0,(G4/4)*7,'FORMULAIRE DE SAISIE'!O6)</f>
        <v>2928.3100928692643</v>
      </c>
      <c r="I4" s="73">
        <f t="shared" si="3"/>
        <v>3</v>
      </c>
      <c r="J4" s="74">
        <f t="shared" si="4"/>
        <v>15</v>
      </c>
      <c r="K4" s="75">
        <f t="shared" si="5"/>
        <v>91.066666666666663</v>
      </c>
      <c r="L4" s="74">
        <f t="shared" si="6"/>
        <v>12</v>
      </c>
      <c r="M4" s="77">
        <f t="shared" si="7"/>
        <v>1673.3200530681511</v>
      </c>
      <c r="N4" s="77">
        <f t="shared" si="8"/>
        <v>8366.6002653407559</v>
      </c>
      <c r="O4" s="77">
        <f t="shared" si="9"/>
        <v>8784.9302786077933</v>
      </c>
      <c r="P4" s="78">
        <f t="shared" si="10"/>
        <v>16.733200530681511</v>
      </c>
      <c r="Q4" s="78">
        <f t="shared" si="11"/>
        <v>29.283100928692644</v>
      </c>
      <c r="R4" s="80">
        <f t="shared" si="12"/>
        <v>29.283100928692644</v>
      </c>
      <c r="S4" s="81">
        <f t="shared" si="13"/>
        <v>16.733200530681511</v>
      </c>
      <c r="T4" s="83">
        <v>7.34</v>
      </c>
      <c r="U4" s="84">
        <v>7.5</v>
      </c>
      <c r="V4" s="84">
        <v>3.6</v>
      </c>
      <c r="W4" s="86">
        <f t="shared" si="14"/>
        <v>4.3817609201697936</v>
      </c>
      <c r="X4" s="62">
        <v>3</v>
      </c>
      <c r="Y4" s="63">
        <v>15</v>
      </c>
      <c r="Z4" s="64">
        <v>7.5</v>
      </c>
      <c r="AA4" s="64">
        <v>10.5</v>
      </c>
      <c r="AB4" s="64">
        <v>10.5</v>
      </c>
      <c r="AC4" s="64">
        <v>5.25</v>
      </c>
      <c r="AD4" s="64">
        <v>3.75</v>
      </c>
      <c r="AE4" s="64">
        <v>5.25</v>
      </c>
      <c r="AF4" s="65">
        <v>2</v>
      </c>
      <c r="AG4" s="89">
        <f t="shared" si="15"/>
        <v>210</v>
      </c>
      <c r="AH4" s="90">
        <v>113.99</v>
      </c>
      <c r="AI4" s="90">
        <v>191.98</v>
      </c>
      <c r="AJ4" s="90">
        <v>53.99</v>
      </c>
      <c r="AK4" s="90">
        <v>11.99</v>
      </c>
      <c r="AL4" s="90">
        <v>122.99</v>
      </c>
      <c r="AM4" s="90">
        <v>23.99</v>
      </c>
      <c r="AN4" s="90">
        <v>16.29</v>
      </c>
      <c r="AO4" s="90">
        <v>16.29</v>
      </c>
      <c r="AP4" s="90">
        <v>22.98</v>
      </c>
      <c r="AQ4" s="90">
        <v>12.99</v>
      </c>
      <c r="AR4" s="90">
        <v>4.5</v>
      </c>
      <c r="AS4" s="90">
        <v>4.5</v>
      </c>
      <c r="AT4" s="90">
        <v>4.5</v>
      </c>
      <c r="AU4" s="90">
        <v>113.99</v>
      </c>
      <c r="AV4" s="90"/>
      <c r="AW4" s="90"/>
      <c r="AX4" s="90"/>
      <c r="AY4" s="90"/>
      <c r="AZ4" s="90"/>
      <c r="BA4" s="90"/>
      <c r="BB4" s="90"/>
      <c r="BC4" s="90"/>
      <c r="BD4" s="90"/>
    </row>
    <row r="5" spans="1:57" ht="18.75" thickTop="1" thickBot="1" x14ac:dyDescent="0.35">
      <c r="A5" s="69" t="s">
        <v>78</v>
      </c>
      <c r="B5" s="66">
        <f>'FORMULAIRE DE SAISIE'!D6</f>
        <v>200</v>
      </c>
      <c r="C5" s="70">
        <f>'FORMULAIRE DE SAISIE'!E6</f>
        <v>150</v>
      </c>
      <c r="D5" s="71">
        <f t="shared" si="1"/>
        <v>52500</v>
      </c>
      <c r="E5" s="72">
        <f>'FORMULAIRE DE SAISIE'!G6</f>
        <v>3000</v>
      </c>
      <c r="F5" s="73">
        <f t="shared" si="2"/>
        <v>17.5</v>
      </c>
      <c r="G5" s="72">
        <f>IF('FORMULAIRE DE SAISIE'!N6=0,SQRT(F5*10000)*4,'FORMULAIRE DE SAISIE'!N6)</f>
        <v>1673.3200530681511</v>
      </c>
      <c r="H5" s="72">
        <f>IF('FORMULAIRE DE SAISIE'!O6=0,(G5/4)*7,'FORMULAIRE DE SAISIE'!O6)</f>
        <v>2928.3100928692643</v>
      </c>
      <c r="I5" s="73">
        <f t="shared" si="3"/>
        <v>3</v>
      </c>
      <c r="J5" s="74">
        <f t="shared" si="4"/>
        <v>15</v>
      </c>
      <c r="K5" s="75">
        <f t="shared" si="5"/>
        <v>91.066666666666663</v>
      </c>
      <c r="L5" s="74">
        <f t="shared" si="6"/>
        <v>12</v>
      </c>
      <c r="M5" s="77">
        <f t="shared" si="7"/>
        <v>1673.3200530681511</v>
      </c>
      <c r="N5" s="77">
        <f t="shared" si="8"/>
        <v>8366.6002653407559</v>
      </c>
      <c r="O5" s="77">
        <f t="shared" si="9"/>
        <v>8784.9302786077933</v>
      </c>
      <c r="P5" s="78">
        <f t="shared" si="10"/>
        <v>16.733200530681511</v>
      </c>
      <c r="Q5" s="78">
        <f t="shared" si="11"/>
        <v>29.283100928692644</v>
      </c>
      <c r="R5" s="80">
        <f t="shared" si="12"/>
        <v>29.283100928692644</v>
      </c>
      <c r="S5" s="81">
        <f t="shared" si="13"/>
        <v>16.733200530681511</v>
      </c>
      <c r="T5" s="83">
        <v>7.34</v>
      </c>
      <c r="U5" s="84">
        <v>7.5</v>
      </c>
      <c r="V5" s="84">
        <v>3.6</v>
      </c>
      <c r="W5" s="86">
        <f t="shared" si="14"/>
        <v>4.3817609201697936</v>
      </c>
      <c r="X5" s="62">
        <v>3</v>
      </c>
      <c r="Y5" s="63">
        <v>15</v>
      </c>
      <c r="Z5" s="64">
        <v>7.5</v>
      </c>
      <c r="AA5" s="64">
        <v>10.5</v>
      </c>
      <c r="AB5" s="64">
        <v>10.5</v>
      </c>
      <c r="AC5" s="64">
        <v>5.25</v>
      </c>
      <c r="AD5" s="64">
        <v>3.75</v>
      </c>
      <c r="AE5" s="64">
        <v>5.25</v>
      </c>
      <c r="AF5" s="65">
        <v>2</v>
      </c>
      <c r="AG5" s="89">
        <f t="shared" si="15"/>
        <v>210</v>
      </c>
      <c r="AH5" s="90">
        <v>113.99</v>
      </c>
      <c r="AI5" s="90">
        <v>191.98</v>
      </c>
      <c r="AJ5" s="90">
        <v>53.99</v>
      </c>
      <c r="AK5" s="90">
        <v>11.99</v>
      </c>
      <c r="AL5" s="90">
        <v>122.99</v>
      </c>
      <c r="AM5" s="90">
        <v>23.99</v>
      </c>
      <c r="AN5" s="90">
        <v>16.29</v>
      </c>
      <c r="AO5" s="90">
        <v>16.29</v>
      </c>
      <c r="AP5" s="90">
        <v>22.98</v>
      </c>
      <c r="AQ5" s="90">
        <v>12.99</v>
      </c>
      <c r="AR5" s="90">
        <v>4.5</v>
      </c>
      <c r="AS5" s="90">
        <v>4.5</v>
      </c>
      <c r="AT5" s="90">
        <v>4.5</v>
      </c>
      <c r="AU5" s="90">
        <v>113.99</v>
      </c>
      <c r="AV5" s="90"/>
      <c r="AW5" s="90"/>
      <c r="AX5" s="90"/>
      <c r="AY5" s="90"/>
      <c r="AZ5" s="90"/>
      <c r="BA5" s="90"/>
      <c r="BB5" s="90"/>
      <c r="BC5" s="90"/>
      <c r="BD5" s="90"/>
    </row>
    <row r="6" spans="1:57" ht="18.75" thickTop="1" thickBot="1" x14ac:dyDescent="0.35">
      <c r="A6" s="69" t="s">
        <v>79</v>
      </c>
      <c r="B6" s="66">
        <f>'FORMULAIRE DE SAISIE'!D6</f>
        <v>200</v>
      </c>
      <c r="C6" s="70">
        <f>'FORMULAIRE DE SAISIE'!E6</f>
        <v>150</v>
      </c>
      <c r="D6" s="71">
        <f t="shared" si="1"/>
        <v>52500</v>
      </c>
      <c r="E6" s="72">
        <f>'FORMULAIRE DE SAISIE'!G6</f>
        <v>3000</v>
      </c>
      <c r="F6" s="73">
        <f t="shared" si="2"/>
        <v>17.5</v>
      </c>
      <c r="G6" s="72">
        <f>IF('FORMULAIRE DE SAISIE'!N6=0,SQRT(F6*10000)*4,'FORMULAIRE DE SAISIE'!N6)</f>
        <v>1673.3200530681511</v>
      </c>
      <c r="H6" s="72">
        <f>IF('FORMULAIRE DE SAISIE'!O6=0,(G6/4)*7,'FORMULAIRE DE SAISIE'!O6)</f>
        <v>2928.3100928692643</v>
      </c>
      <c r="I6" s="73">
        <f t="shared" si="3"/>
        <v>3</v>
      </c>
      <c r="J6" s="74">
        <f t="shared" si="4"/>
        <v>15</v>
      </c>
      <c r="K6" s="75">
        <f t="shared" si="5"/>
        <v>91.066666666666663</v>
      </c>
      <c r="L6" s="74">
        <f t="shared" si="6"/>
        <v>12</v>
      </c>
      <c r="M6" s="77">
        <f t="shared" si="7"/>
        <v>1673.3200530681511</v>
      </c>
      <c r="N6" s="77">
        <f t="shared" si="8"/>
        <v>8366.6002653407559</v>
      </c>
      <c r="O6" s="77">
        <f t="shared" si="9"/>
        <v>8784.9302786077933</v>
      </c>
      <c r="P6" s="78">
        <f t="shared" si="10"/>
        <v>16.733200530681511</v>
      </c>
      <c r="Q6" s="78">
        <f t="shared" si="11"/>
        <v>29.283100928692644</v>
      </c>
      <c r="R6" s="80">
        <f t="shared" si="12"/>
        <v>29.283100928692644</v>
      </c>
      <c r="S6" s="81">
        <f t="shared" si="13"/>
        <v>16.733200530681511</v>
      </c>
      <c r="T6" s="83">
        <v>7.34</v>
      </c>
      <c r="U6" s="84">
        <v>7.5</v>
      </c>
      <c r="V6" s="84">
        <v>3.6</v>
      </c>
      <c r="W6" s="86">
        <f t="shared" si="14"/>
        <v>4.3817609201697936</v>
      </c>
      <c r="X6" s="62">
        <v>3</v>
      </c>
      <c r="Y6" s="63">
        <v>15</v>
      </c>
      <c r="Z6" s="64">
        <v>7.5</v>
      </c>
      <c r="AA6" s="64">
        <v>10.5</v>
      </c>
      <c r="AB6" s="64">
        <v>10.5</v>
      </c>
      <c r="AC6" s="64">
        <v>5.25</v>
      </c>
      <c r="AD6" s="64">
        <v>3.75</v>
      </c>
      <c r="AE6" s="64">
        <v>5.25</v>
      </c>
      <c r="AF6" s="65">
        <v>2</v>
      </c>
      <c r="AG6" s="89">
        <f t="shared" si="15"/>
        <v>210</v>
      </c>
      <c r="AH6" s="90">
        <v>113.99</v>
      </c>
      <c r="AI6" s="90">
        <v>191.98</v>
      </c>
      <c r="AJ6" s="90">
        <v>53.99</v>
      </c>
      <c r="AK6" s="90">
        <v>11.99</v>
      </c>
      <c r="AL6" s="90">
        <v>122.99</v>
      </c>
      <c r="AM6" s="90">
        <v>23.99</v>
      </c>
      <c r="AN6" s="90">
        <v>16.29</v>
      </c>
      <c r="AO6" s="90">
        <v>16.29</v>
      </c>
      <c r="AP6" s="90">
        <v>22.98</v>
      </c>
      <c r="AQ6" s="90">
        <v>12.99</v>
      </c>
      <c r="AR6" s="90">
        <v>4.5</v>
      </c>
      <c r="AS6" s="90">
        <v>4.5</v>
      </c>
      <c r="AT6" s="90">
        <v>4.5</v>
      </c>
      <c r="AU6" s="90">
        <v>113.99</v>
      </c>
      <c r="AV6" s="90"/>
      <c r="AW6" s="90"/>
      <c r="AX6" s="90"/>
      <c r="AY6" s="90"/>
      <c r="AZ6" s="90"/>
      <c r="BA6" s="90"/>
      <c r="BB6" s="90"/>
      <c r="BC6" s="90"/>
      <c r="BD6" s="90"/>
    </row>
    <row r="7" spans="1:57" ht="18.75" thickTop="1" thickBot="1" x14ac:dyDescent="0.35">
      <c r="A7" s="69" t="s">
        <v>80</v>
      </c>
      <c r="B7" s="66">
        <f>'FORMULAIRE DE SAISIE'!D6</f>
        <v>200</v>
      </c>
      <c r="C7" s="70">
        <f>'FORMULAIRE DE SAISIE'!E6</f>
        <v>150</v>
      </c>
      <c r="D7" s="71">
        <f t="shared" si="1"/>
        <v>52500</v>
      </c>
      <c r="E7" s="72">
        <f>'FORMULAIRE DE SAISIE'!G6</f>
        <v>3000</v>
      </c>
      <c r="F7" s="73">
        <f t="shared" si="2"/>
        <v>17.5</v>
      </c>
      <c r="G7" s="72">
        <f>IF('FORMULAIRE DE SAISIE'!N6=0,SQRT(F7*10000)*4,'FORMULAIRE DE SAISIE'!N6)</f>
        <v>1673.3200530681511</v>
      </c>
      <c r="H7" s="72">
        <f>IF('FORMULAIRE DE SAISIE'!O6=0,(G7/4)*7,'FORMULAIRE DE SAISIE'!O6)</f>
        <v>2928.3100928692643</v>
      </c>
      <c r="I7" s="73">
        <f t="shared" si="3"/>
        <v>3</v>
      </c>
      <c r="J7" s="74">
        <f t="shared" si="4"/>
        <v>15</v>
      </c>
      <c r="K7" s="75">
        <f t="shared" si="5"/>
        <v>91.066666666666663</v>
      </c>
      <c r="L7" s="74">
        <f t="shared" si="6"/>
        <v>12</v>
      </c>
      <c r="M7" s="77">
        <f t="shared" si="7"/>
        <v>1673.3200530681511</v>
      </c>
      <c r="N7" s="77">
        <f t="shared" si="8"/>
        <v>8366.6002653407559</v>
      </c>
      <c r="O7" s="77">
        <f t="shared" si="9"/>
        <v>8784.9302786077933</v>
      </c>
      <c r="P7" s="78">
        <f t="shared" si="10"/>
        <v>16.733200530681511</v>
      </c>
      <c r="Q7" s="78">
        <f t="shared" si="11"/>
        <v>29.283100928692644</v>
      </c>
      <c r="R7" s="80">
        <f t="shared" si="12"/>
        <v>29.283100928692644</v>
      </c>
      <c r="S7" s="81">
        <f t="shared" si="13"/>
        <v>16.733200530681511</v>
      </c>
      <c r="T7" s="83">
        <v>7.34</v>
      </c>
      <c r="U7" s="84">
        <v>7.5</v>
      </c>
      <c r="V7" s="84">
        <v>3.6</v>
      </c>
      <c r="W7" s="86">
        <f t="shared" si="14"/>
        <v>4.3817609201697936</v>
      </c>
      <c r="X7" s="62">
        <v>3</v>
      </c>
      <c r="Y7" s="63">
        <v>15</v>
      </c>
      <c r="Z7" s="64">
        <v>7.5</v>
      </c>
      <c r="AA7" s="64">
        <v>10.5</v>
      </c>
      <c r="AB7" s="64">
        <v>10.5</v>
      </c>
      <c r="AC7" s="64">
        <v>5.25</v>
      </c>
      <c r="AD7" s="64">
        <v>3.75</v>
      </c>
      <c r="AE7" s="64">
        <v>5.25</v>
      </c>
      <c r="AF7" s="65">
        <v>2</v>
      </c>
      <c r="AG7" s="89">
        <f t="shared" si="15"/>
        <v>210</v>
      </c>
      <c r="AH7" s="90">
        <v>113.99</v>
      </c>
      <c r="AI7" s="90">
        <v>191.98</v>
      </c>
      <c r="AJ7" s="90">
        <v>53.99</v>
      </c>
      <c r="AK7" s="90">
        <v>11.99</v>
      </c>
      <c r="AL7" s="90">
        <v>122.99</v>
      </c>
      <c r="AM7" s="90">
        <v>23.99</v>
      </c>
      <c r="AN7" s="90">
        <v>16.29</v>
      </c>
      <c r="AO7" s="90">
        <v>16.29</v>
      </c>
      <c r="AP7" s="90">
        <v>22.98</v>
      </c>
      <c r="AQ7" s="90">
        <v>12.99</v>
      </c>
      <c r="AR7" s="90">
        <v>4.5</v>
      </c>
      <c r="AS7" s="90">
        <v>4.5</v>
      </c>
      <c r="AT7" s="90">
        <v>4.5</v>
      </c>
      <c r="AU7" s="90">
        <v>113.99</v>
      </c>
      <c r="AV7" s="90"/>
      <c r="AW7" s="90"/>
      <c r="AX7" s="90"/>
      <c r="AY7" s="90"/>
      <c r="AZ7" s="90"/>
      <c r="BA7" s="90"/>
      <c r="BB7" s="90"/>
      <c r="BC7" s="90"/>
      <c r="BD7" s="90"/>
    </row>
    <row r="8" spans="1:57" ht="18.75" thickTop="1" thickBot="1" x14ac:dyDescent="0.35">
      <c r="A8" s="69" t="s">
        <v>85</v>
      </c>
      <c r="B8" s="66">
        <f>'FORMULAIRE DE SAISIE'!D6</f>
        <v>200</v>
      </c>
      <c r="C8" s="70">
        <f>'FORMULAIRE DE SAISIE'!E6</f>
        <v>150</v>
      </c>
      <c r="D8" s="71">
        <f t="shared" si="1"/>
        <v>52500</v>
      </c>
      <c r="E8" s="72">
        <f>'FORMULAIRE DE SAISIE'!G6</f>
        <v>3000</v>
      </c>
      <c r="F8" s="73">
        <f t="shared" si="2"/>
        <v>17.5</v>
      </c>
      <c r="G8" s="72">
        <f>IF('FORMULAIRE DE SAISIE'!N6=0,SQRT(F8*10000)*4,'FORMULAIRE DE SAISIE'!N6)</f>
        <v>1673.3200530681511</v>
      </c>
      <c r="H8" s="72">
        <f>IF('FORMULAIRE DE SAISIE'!O6=0,(G8/4)*7,'FORMULAIRE DE SAISIE'!O6)</f>
        <v>2928.3100928692643</v>
      </c>
      <c r="I8" s="73">
        <f t="shared" si="3"/>
        <v>3</v>
      </c>
      <c r="J8" s="74">
        <f t="shared" si="4"/>
        <v>15</v>
      </c>
      <c r="K8" s="75">
        <f t="shared" si="5"/>
        <v>91.066666666666663</v>
      </c>
      <c r="L8" s="74">
        <f t="shared" si="6"/>
        <v>12</v>
      </c>
      <c r="M8" s="77">
        <f t="shared" si="7"/>
        <v>1673.3200530681511</v>
      </c>
      <c r="N8" s="77">
        <f t="shared" si="8"/>
        <v>8366.6002653407559</v>
      </c>
      <c r="O8" s="77">
        <f t="shared" si="9"/>
        <v>8784.9302786077933</v>
      </c>
      <c r="P8" s="78">
        <f t="shared" si="10"/>
        <v>16.733200530681511</v>
      </c>
      <c r="Q8" s="78">
        <f t="shared" si="11"/>
        <v>29.283100928692644</v>
      </c>
      <c r="R8" s="80">
        <f t="shared" si="12"/>
        <v>29.283100928692644</v>
      </c>
      <c r="S8" s="81">
        <f t="shared" si="13"/>
        <v>16.733200530681511</v>
      </c>
      <c r="T8" s="83">
        <v>7.34</v>
      </c>
      <c r="U8" s="84">
        <v>7.5</v>
      </c>
      <c r="V8" s="84">
        <v>3.6</v>
      </c>
      <c r="W8" s="86">
        <f t="shared" si="14"/>
        <v>4.3817609201697936</v>
      </c>
      <c r="X8" s="62">
        <v>3</v>
      </c>
      <c r="Y8" s="63">
        <v>15</v>
      </c>
      <c r="Z8" s="64">
        <v>7.5</v>
      </c>
      <c r="AA8" s="64">
        <v>10.5</v>
      </c>
      <c r="AB8" s="64">
        <v>10.5</v>
      </c>
      <c r="AC8" s="64">
        <v>5.25</v>
      </c>
      <c r="AD8" s="64">
        <v>3.75</v>
      </c>
      <c r="AE8" s="64">
        <v>5.25</v>
      </c>
      <c r="AF8" s="65">
        <v>2</v>
      </c>
      <c r="AG8" s="89">
        <f t="shared" si="15"/>
        <v>210</v>
      </c>
      <c r="AH8" s="90">
        <v>113.99</v>
      </c>
      <c r="AI8" s="90">
        <v>191.98</v>
      </c>
      <c r="AJ8" s="90">
        <v>53.99</v>
      </c>
      <c r="AK8" s="90">
        <v>11.99</v>
      </c>
      <c r="AL8" s="90">
        <v>122.99</v>
      </c>
      <c r="AM8" s="90">
        <v>23.99</v>
      </c>
      <c r="AN8" s="90">
        <v>16.29</v>
      </c>
      <c r="AO8" s="90">
        <v>16.29</v>
      </c>
      <c r="AP8" s="90">
        <v>22.98</v>
      </c>
      <c r="AQ8" s="90">
        <v>12.99</v>
      </c>
      <c r="AR8" s="90">
        <v>4.5</v>
      </c>
      <c r="AS8" s="90">
        <v>4.5</v>
      </c>
      <c r="AT8" s="90">
        <v>4.5</v>
      </c>
      <c r="AU8" s="90">
        <v>113.99</v>
      </c>
      <c r="AV8" s="90"/>
      <c r="AW8" s="90"/>
      <c r="AX8" s="90"/>
      <c r="AY8" s="90"/>
      <c r="AZ8" s="90"/>
      <c r="BA8" s="90"/>
      <c r="BB8" s="90"/>
      <c r="BC8" s="90"/>
      <c r="BD8" s="90"/>
    </row>
    <row r="9" spans="1:57" ht="18.75" thickTop="1" thickBot="1" x14ac:dyDescent="0.35">
      <c r="A9" s="69" t="s">
        <v>87</v>
      </c>
      <c r="B9" s="66">
        <f>'FORMULAIRE DE SAISIE'!D6</f>
        <v>200</v>
      </c>
      <c r="C9" s="70">
        <f>'FORMULAIRE DE SAISIE'!E6</f>
        <v>150</v>
      </c>
      <c r="D9" s="71">
        <f t="shared" si="1"/>
        <v>52500</v>
      </c>
      <c r="E9" s="72">
        <f>'FORMULAIRE DE SAISIE'!G6</f>
        <v>3000</v>
      </c>
      <c r="F9" s="73">
        <f t="shared" si="2"/>
        <v>17.5</v>
      </c>
      <c r="G9" s="72">
        <f>IF('FORMULAIRE DE SAISIE'!N6=0,SQRT(F9*10000)*4,'FORMULAIRE DE SAISIE'!N6)</f>
        <v>1673.3200530681511</v>
      </c>
      <c r="H9" s="72">
        <f>IF('FORMULAIRE DE SAISIE'!O6=0,(G9/4)*7,'FORMULAIRE DE SAISIE'!O6)</f>
        <v>2928.3100928692643</v>
      </c>
      <c r="I9" s="73">
        <f t="shared" si="3"/>
        <v>3</v>
      </c>
      <c r="J9" s="74">
        <f t="shared" si="4"/>
        <v>15</v>
      </c>
      <c r="K9" s="75">
        <f t="shared" si="5"/>
        <v>91.066666666666663</v>
      </c>
      <c r="L9" s="74">
        <f t="shared" si="6"/>
        <v>12</v>
      </c>
      <c r="M9" s="77">
        <f t="shared" si="7"/>
        <v>1673.3200530681511</v>
      </c>
      <c r="N9" s="77">
        <f t="shared" si="8"/>
        <v>8366.6002653407559</v>
      </c>
      <c r="O9" s="77">
        <f t="shared" si="9"/>
        <v>8784.9302786077933</v>
      </c>
      <c r="P9" s="78">
        <f t="shared" si="10"/>
        <v>16.733200530681511</v>
      </c>
      <c r="Q9" s="78">
        <f t="shared" si="11"/>
        <v>29.283100928692644</v>
      </c>
      <c r="R9" s="80">
        <f t="shared" si="12"/>
        <v>29.283100928692644</v>
      </c>
      <c r="S9" s="81">
        <f t="shared" si="13"/>
        <v>16.733200530681511</v>
      </c>
      <c r="T9" s="83">
        <v>7.34</v>
      </c>
      <c r="U9" s="84">
        <v>7.5</v>
      </c>
      <c r="V9" s="84">
        <v>3.6</v>
      </c>
      <c r="W9" s="86">
        <f t="shared" si="14"/>
        <v>4.3817609201697936</v>
      </c>
      <c r="X9" s="62">
        <v>3</v>
      </c>
      <c r="Y9" s="63">
        <v>15</v>
      </c>
      <c r="Z9" s="64">
        <v>7.5</v>
      </c>
      <c r="AA9" s="64">
        <v>10.5</v>
      </c>
      <c r="AB9" s="64">
        <v>10.5</v>
      </c>
      <c r="AC9" s="64">
        <v>5.25</v>
      </c>
      <c r="AD9" s="64">
        <v>3.75</v>
      </c>
      <c r="AE9" s="64">
        <v>5.25</v>
      </c>
      <c r="AF9" s="65">
        <v>2</v>
      </c>
      <c r="AG9" s="89">
        <f t="shared" si="15"/>
        <v>210</v>
      </c>
      <c r="AH9" s="90">
        <v>113.99</v>
      </c>
      <c r="AI9" s="90">
        <v>191.98</v>
      </c>
      <c r="AJ9" s="90">
        <v>53.99</v>
      </c>
      <c r="AK9" s="90">
        <v>11.99</v>
      </c>
      <c r="AL9" s="90">
        <v>122.99</v>
      </c>
      <c r="AM9" s="90">
        <v>23.99</v>
      </c>
      <c r="AN9" s="90">
        <v>16.29</v>
      </c>
      <c r="AO9" s="90">
        <v>16.29</v>
      </c>
      <c r="AP9" s="90">
        <v>22.98</v>
      </c>
      <c r="AQ9" s="90">
        <v>12.99</v>
      </c>
      <c r="AR9" s="90">
        <v>4.5</v>
      </c>
      <c r="AS9" s="90">
        <v>4.5</v>
      </c>
      <c r="AT9" s="90">
        <v>4.5</v>
      </c>
      <c r="AU9" s="90">
        <v>113.99</v>
      </c>
      <c r="AV9" s="90"/>
      <c r="AW9" s="90"/>
      <c r="AX9" s="90"/>
      <c r="AY9" s="90"/>
      <c r="AZ9" s="90"/>
      <c r="BA9" s="90"/>
      <c r="BB9" s="90"/>
      <c r="BC9" s="90"/>
      <c r="BD9" s="90"/>
      <c r="BE9" s="249"/>
    </row>
    <row r="10" spans="1:57" ht="18.75" thickTop="1" thickBot="1" x14ac:dyDescent="0.35">
      <c r="A10" s="69" t="s">
        <v>223</v>
      </c>
      <c r="B10" s="66">
        <v>100</v>
      </c>
      <c r="C10" s="67">
        <v>150</v>
      </c>
      <c r="D10" s="71">
        <f>B10*C10*1.75</f>
        <v>26250</v>
      </c>
      <c r="E10" s="67">
        <f>'FORMULAIRE DE SAISIE'!G6</f>
        <v>3000</v>
      </c>
      <c r="F10" s="67">
        <f>D10/E10</f>
        <v>8.75</v>
      </c>
      <c r="G10" s="232">
        <f>'FORMULAIRE DE SAISIE'!C9</f>
        <v>1673.3200530681511</v>
      </c>
      <c r="H10" s="232">
        <v>2070.6279240848658</v>
      </c>
      <c r="I10" s="233">
        <f>E10/1000</f>
        <v>3</v>
      </c>
      <c r="J10" s="67">
        <f t="shared" si="4"/>
        <v>15</v>
      </c>
      <c r="K10" s="232">
        <f t="shared" si="5"/>
        <v>91.066666666666663</v>
      </c>
      <c r="L10" s="232">
        <f t="shared" si="6"/>
        <v>12</v>
      </c>
      <c r="M10" s="77">
        <f>G10</f>
        <v>1673.3200530681511</v>
      </c>
      <c r="N10" s="77">
        <f>M10*5</f>
        <v>8366.6002653407559</v>
      </c>
      <c r="O10" s="77"/>
      <c r="P10" s="77"/>
      <c r="Q10" s="77"/>
      <c r="R10" s="80"/>
      <c r="S10" s="81"/>
      <c r="T10" s="84"/>
      <c r="U10" s="84"/>
      <c r="V10" s="84"/>
      <c r="W10" s="86"/>
      <c r="X10" s="62"/>
      <c r="Y10" s="62"/>
      <c r="Z10" s="62"/>
      <c r="AA10" s="62"/>
      <c r="AB10" s="62"/>
      <c r="AC10" s="62"/>
      <c r="AD10" s="62"/>
      <c r="AE10" s="62"/>
      <c r="AF10" s="62"/>
      <c r="AG10" s="90">
        <f t="shared" si="15"/>
        <v>210</v>
      </c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>
        <v>569</v>
      </c>
      <c r="AW10" s="235">
        <v>5.71</v>
      </c>
      <c r="AX10" s="90">
        <v>6.5</v>
      </c>
      <c r="AY10" s="90">
        <v>10</v>
      </c>
      <c r="AZ10" s="90">
        <v>12</v>
      </c>
      <c r="BA10" s="90">
        <v>11</v>
      </c>
      <c r="BB10" s="237">
        <v>10.5</v>
      </c>
      <c r="BC10" s="90">
        <v>15</v>
      </c>
      <c r="BD10" s="251">
        <v>52.5</v>
      </c>
      <c r="BE10" s="250"/>
    </row>
    <row r="11" spans="1:57" ht="18" thickTop="1" x14ac:dyDescent="0.3">
      <c r="BE11" s="249"/>
    </row>
    <row r="13" spans="1:57" ht="15" x14ac:dyDescent="0.25">
      <c r="AU13" s="38"/>
    </row>
  </sheetData>
  <sheetProtection password="E52D" sheet="1" objects="1" scenarios="1" selectLockedCells="1" selectUnlockedCells="1"/>
  <dataValidations count="22">
    <dataValidation type="custom" allowBlank="1" showInputMessage="1" showErrorMessage="1" sqref="D2:D9">
      <formula1>B2*C2*1.75</formula1>
    </dataValidation>
    <dataValidation type="list" allowBlank="1" showInputMessage="1" showErrorMessage="1" sqref="X2:X9">
      <formula1>"3"</formula1>
    </dataValidation>
    <dataValidation type="list" allowBlank="1" showInputMessage="1" showErrorMessage="1" sqref="Y2:Y9 BC10">
      <mc:AlternateContent xmlns:x12ac="http://schemas.microsoft.com/office/spreadsheetml/2011/1/ac" xmlns:mc="http://schemas.openxmlformats.org/markup-compatibility/2006">
        <mc:Choice Requires="x12ac">
          <x12ac:list>"15,00 $"</x12ac:list>
        </mc:Choice>
        <mc:Fallback>
          <formula1>"15,00 $"</formula1>
        </mc:Fallback>
      </mc:AlternateContent>
    </dataValidation>
    <dataValidation type="list" allowBlank="1" showInputMessage="1" showErrorMessage="1" sqref="Z2:Z9 U2:U9">
      <mc:AlternateContent xmlns:x12ac="http://schemas.microsoft.com/office/spreadsheetml/2011/1/ac" xmlns:mc="http://schemas.openxmlformats.org/markup-compatibility/2006">
        <mc:Choice Requires="x12ac">
          <x12ac:list>"7,50"</x12ac:list>
        </mc:Choice>
        <mc:Fallback>
          <formula1>"7,50"</formula1>
        </mc:Fallback>
      </mc:AlternateContent>
    </dataValidation>
    <dataValidation type="list" allowBlank="1" showInputMessage="1" showErrorMessage="1" sqref="AA2:AB9">
      <mc:AlternateContent xmlns:x12ac="http://schemas.microsoft.com/office/spreadsheetml/2011/1/ac" xmlns:mc="http://schemas.openxmlformats.org/markup-compatibility/2006">
        <mc:Choice Requires="x12ac">
          <x12ac:list>"10,50"</x12ac:list>
        </mc:Choice>
        <mc:Fallback>
          <formula1>"10,50"</formula1>
        </mc:Fallback>
      </mc:AlternateContent>
    </dataValidation>
    <dataValidation type="list" allowBlank="1" showInputMessage="1" showErrorMessage="1" sqref="AC2:AC9 AE2:AE9">
      <mc:AlternateContent xmlns:x12ac="http://schemas.microsoft.com/office/spreadsheetml/2011/1/ac" xmlns:mc="http://schemas.openxmlformats.org/markup-compatibility/2006">
        <mc:Choice Requires="x12ac">
          <x12ac:list>"5,25"</x12ac:list>
        </mc:Choice>
        <mc:Fallback>
          <formula1>"5,25"</formula1>
        </mc:Fallback>
      </mc:AlternateContent>
    </dataValidation>
    <dataValidation type="list" allowBlank="1" showInputMessage="1" showErrorMessage="1" sqref="AD2:AD9">
      <mc:AlternateContent xmlns:x12ac="http://schemas.microsoft.com/office/spreadsheetml/2011/1/ac" xmlns:mc="http://schemas.openxmlformats.org/markup-compatibility/2006">
        <mc:Choice Requires="x12ac">
          <x12ac:list>"3,75"</x12ac:list>
        </mc:Choice>
        <mc:Fallback>
          <formula1>"3,75"</formula1>
        </mc:Fallback>
      </mc:AlternateContent>
    </dataValidation>
    <dataValidation type="list" allowBlank="1" showInputMessage="1" showErrorMessage="1" sqref="AF2:AF9">
      <formula1>"2"</formula1>
    </dataValidation>
    <dataValidation type="list" allowBlank="1" showInputMessage="1" showErrorMessage="1" sqref="AH2:AH9 AU2:AU9">
      <mc:AlternateContent xmlns:x12ac="http://schemas.microsoft.com/office/spreadsheetml/2011/1/ac" xmlns:mc="http://schemas.openxmlformats.org/markup-compatibility/2006">
        <mc:Choice Requires="x12ac">
          <x12ac:list>"113,99 $"</x12ac:list>
        </mc:Choice>
        <mc:Fallback>
          <formula1>"113,99 $"</formula1>
        </mc:Fallback>
      </mc:AlternateContent>
    </dataValidation>
    <dataValidation type="list" allowBlank="1" showInputMessage="1" showErrorMessage="1" sqref="AI2:AI9">
      <mc:AlternateContent xmlns:x12ac="http://schemas.microsoft.com/office/spreadsheetml/2011/1/ac" xmlns:mc="http://schemas.openxmlformats.org/markup-compatibility/2006">
        <mc:Choice Requires="x12ac">
          <x12ac:list>"191,98 $"</x12ac:list>
        </mc:Choice>
        <mc:Fallback>
          <formula1>"191,98 $"</formula1>
        </mc:Fallback>
      </mc:AlternateContent>
    </dataValidation>
    <dataValidation type="list" allowBlank="1" showInputMessage="1" showErrorMessage="1" sqref="AJ2:AJ9">
      <mc:AlternateContent xmlns:x12ac="http://schemas.microsoft.com/office/spreadsheetml/2011/1/ac" xmlns:mc="http://schemas.openxmlformats.org/markup-compatibility/2006">
        <mc:Choice Requires="x12ac">
          <x12ac:list>"53,99"</x12ac:list>
        </mc:Choice>
        <mc:Fallback>
          <formula1>"53,99"</formula1>
        </mc:Fallback>
      </mc:AlternateContent>
    </dataValidation>
    <dataValidation type="list" allowBlank="1" showInputMessage="1" showErrorMessage="1" sqref="AK2:AK9">
      <mc:AlternateContent xmlns:x12ac="http://schemas.microsoft.com/office/spreadsheetml/2011/1/ac" xmlns:mc="http://schemas.openxmlformats.org/markup-compatibility/2006">
        <mc:Choice Requires="x12ac">
          <x12ac:list>"11,99 $"</x12ac:list>
        </mc:Choice>
        <mc:Fallback>
          <formula1>"11,99 $"</formula1>
        </mc:Fallback>
      </mc:AlternateContent>
    </dataValidation>
    <dataValidation type="list" allowBlank="1" showInputMessage="1" showErrorMessage="1" sqref="AL2:AL9">
      <mc:AlternateContent xmlns:x12ac="http://schemas.microsoft.com/office/spreadsheetml/2011/1/ac" xmlns:mc="http://schemas.openxmlformats.org/markup-compatibility/2006">
        <mc:Choice Requires="x12ac">
          <x12ac:list>"122,99 $"</x12ac:list>
        </mc:Choice>
        <mc:Fallback>
          <formula1>"122,99 $"</formula1>
        </mc:Fallback>
      </mc:AlternateContent>
    </dataValidation>
    <dataValidation type="list" allowBlank="1" showInputMessage="1" showErrorMessage="1" sqref="AM2:AM9">
      <mc:AlternateContent xmlns:x12ac="http://schemas.microsoft.com/office/spreadsheetml/2011/1/ac" xmlns:mc="http://schemas.openxmlformats.org/markup-compatibility/2006">
        <mc:Choice Requires="x12ac">
          <x12ac:list>"23,99 $"</x12ac:list>
        </mc:Choice>
        <mc:Fallback>
          <formula1>"23,99 $"</formula1>
        </mc:Fallback>
      </mc:AlternateContent>
    </dataValidation>
    <dataValidation type="list" allowBlank="1" showInputMessage="1" showErrorMessage="1" sqref="AN2:AO9">
      <mc:AlternateContent xmlns:x12ac="http://schemas.microsoft.com/office/spreadsheetml/2011/1/ac" xmlns:mc="http://schemas.openxmlformats.org/markup-compatibility/2006">
        <mc:Choice Requires="x12ac">
          <x12ac:list>"16,29 $"</x12ac:list>
        </mc:Choice>
        <mc:Fallback>
          <formula1>"16,29 $"</formula1>
        </mc:Fallback>
      </mc:AlternateContent>
    </dataValidation>
    <dataValidation type="list" allowBlank="1" showInputMessage="1" showErrorMessage="1" sqref="AP2:AP9">
      <mc:AlternateContent xmlns:x12ac="http://schemas.microsoft.com/office/spreadsheetml/2011/1/ac" xmlns:mc="http://schemas.openxmlformats.org/markup-compatibility/2006">
        <mc:Choice Requires="x12ac">
          <x12ac:list>"22,98 $"</x12ac:list>
        </mc:Choice>
        <mc:Fallback>
          <formula1>"22,98 $"</formula1>
        </mc:Fallback>
      </mc:AlternateContent>
    </dataValidation>
    <dataValidation type="list" allowBlank="1" showInputMessage="1" showErrorMessage="1" sqref="AQ2:AQ9">
      <mc:AlternateContent xmlns:x12ac="http://schemas.microsoft.com/office/spreadsheetml/2011/1/ac" xmlns:mc="http://schemas.openxmlformats.org/markup-compatibility/2006">
        <mc:Choice Requires="x12ac">
          <x12ac:list>"12,99 $"</x12ac:list>
        </mc:Choice>
        <mc:Fallback>
          <formula1>"12,99 $"</formula1>
        </mc:Fallback>
      </mc:AlternateContent>
    </dataValidation>
    <dataValidation type="list" allowBlank="1" showInputMessage="1" showErrorMessage="1" sqref="AR2:AT9">
      <mc:AlternateContent xmlns:x12ac="http://schemas.microsoft.com/office/spreadsheetml/2011/1/ac" xmlns:mc="http://schemas.openxmlformats.org/markup-compatibility/2006">
        <mc:Choice Requires="x12ac">
          <x12ac:list>"4,50 $"</x12ac:list>
        </mc:Choice>
        <mc:Fallback>
          <formula1>"4,50 $"</formula1>
        </mc:Fallback>
      </mc:AlternateContent>
    </dataValidation>
    <dataValidation type="list" allowBlank="1" showInputMessage="1" showErrorMessage="1" sqref="T2:T9">
      <mc:AlternateContent xmlns:x12ac="http://schemas.microsoft.com/office/spreadsheetml/2011/1/ac" xmlns:mc="http://schemas.openxmlformats.org/markup-compatibility/2006">
        <mc:Choice Requires="x12ac">
          <x12ac:list>"7,34"</x12ac:list>
        </mc:Choice>
        <mc:Fallback>
          <formula1>"7,34"</formula1>
        </mc:Fallback>
      </mc:AlternateContent>
    </dataValidation>
    <dataValidation type="list" allowBlank="1" showInputMessage="1" showErrorMessage="1" sqref="V2:V9">
      <mc:AlternateContent xmlns:x12ac="http://schemas.microsoft.com/office/spreadsheetml/2011/1/ac" xmlns:mc="http://schemas.openxmlformats.org/markup-compatibility/2006">
        <mc:Choice Requires="x12ac">
          <x12ac:list>"3,60"</x12ac:list>
        </mc:Choice>
        <mc:Fallback>
          <formula1>"3,60"</formula1>
        </mc:Fallback>
      </mc:AlternateContent>
    </dataValidation>
    <dataValidation showInputMessage="1" showErrorMessage="1" sqref="E2:E9"/>
    <dataValidation type="list" allowBlank="1" showInputMessage="1" showErrorMessage="1" sqref="BE1">
      <formula1>$BE$2:$BE$501</formula1>
    </dataValidation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3"/>
  <sheetViews>
    <sheetView workbookViewId="0">
      <selection activeCell="P35" sqref="P35"/>
    </sheetView>
  </sheetViews>
  <sheetFormatPr baseColWidth="10" defaultRowHeight="14.4" x14ac:dyDescent="0.3"/>
  <cols>
    <col min="1" max="1" width="16.5546875" customWidth="1"/>
  </cols>
  <sheetData>
    <row r="1" spans="1:8" x14ac:dyDescent="0.3">
      <c r="A1" t="s">
        <v>141</v>
      </c>
    </row>
    <row r="3" spans="1:8" x14ac:dyDescent="0.3">
      <c r="B3" s="3" t="s">
        <v>227</v>
      </c>
      <c r="D3" t="s">
        <v>142</v>
      </c>
      <c r="F3" t="s">
        <v>143</v>
      </c>
    </row>
    <row r="4" spans="1:8" x14ac:dyDescent="0.3">
      <c r="A4" t="s">
        <v>144</v>
      </c>
      <c r="B4" s="151">
        <f>IF('FORMULAIRE DE SAISIE'!E46&lt;&gt;0,'FORMULAIRE DE SAISIE'!E46,'FORMULAIRE DE SAISIE'!D46)</f>
        <v>5000</v>
      </c>
      <c r="C4" t="s">
        <v>145</v>
      </c>
      <c r="D4">
        <v>10</v>
      </c>
      <c r="E4" t="s">
        <v>146</v>
      </c>
      <c r="F4" s="152">
        <f>B4/10</f>
        <v>500</v>
      </c>
    </row>
    <row r="5" spans="1:8" x14ac:dyDescent="0.3">
      <c r="A5" t="s">
        <v>147</v>
      </c>
      <c r="B5" s="256">
        <v>3500</v>
      </c>
      <c r="C5" t="s">
        <v>148</v>
      </c>
      <c r="D5">
        <v>10</v>
      </c>
      <c r="E5" t="s">
        <v>146</v>
      </c>
      <c r="F5" s="152">
        <f>B5/10</f>
        <v>350</v>
      </c>
    </row>
    <row r="6" spans="1:8" x14ac:dyDescent="0.3">
      <c r="A6" t="s">
        <v>149</v>
      </c>
      <c r="B6" s="151">
        <f>IF('FORMULAIRE DE SAISIE'!E47&lt;&gt;0,'FORMULAIRE DE SAISIE'!E47,'FORMULAIRE DE SAISIE'!D47)</f>
        <v>899.97</v>
      </c>
      <c r="D6">
        <v>25</v>
      </c>
      <c r="E6" t="s">
        <v>146</v>
      </c>
      <c r="F6" s="152">
        <f>B6/D6</f>
        <v>35.998800000000003</v>
      </c>
    </row>
    <row r="8" spans="1:8" x14ac:dyDescent="0.3">
      <c r="A8" t="s">
        <v>150</v>
      </c>
    </row>
    <row r="9" spans="1:8" x14ac:dyDescent="0.3">
      <c r="A9" t="s">
        <v>262</v>
      </c>
    </row>
    <row r="10" spans="1:8" x14ac:dyDescent="0.3">
      <c r="D10" t="s">
        <v>151</v>
      </c>
    </row>
    <row r="11" spans="1:8" x14ac:dyDescent="0.3">
      <c r="A11" t="s">
        <v>217</v>
      </c>
      <c r="C11" s="3">
        <v>1</v>
      </c>
      <c r="D11" s="3">
        <v>2</v>
      </c>
      <c r="E11" s="3">
        <v>3</v>
      </c>
      <c r="F11" s="3">
        <v>4</v>
      </c>
      <c r="G11" s="3">
        <v>5</v>
      </c>
    </row>
    <row r="12" spans="1:8" x14ac:dyDescent="0.3">
      <c r="A12" t="s">
        <v>262</v>
      </c>
      <c r="C12" s="104" t="b">
        <f>OR('FORMULAIRE DE SAISIE'!B20="A", 'FORMULAIRE DE SAISIE'!B20="B",'FORMULAIRE DE SAISIE'!B23="E",'FORMULAIRE DE SAISIE'!B23="F")</f>
        <v>1</v>
      </c>
      <c r="D12" s="104" t="b">
        <f>OR('FORMULAIRE DE SAISIE'!D20="A", 'FORMULAIRE DE SAISIE'!D20="B",'FORMULAIRE DE SAISIE'!D23="E",'FORMULAIRE DE SAISIE'!D23="F")</f>
        <v>1</v>
      </c>
      <c r="E12" s="104" t="b">
        <f>OR('FORMULAIRE DE SAISIE'!G20="A", 'FORMULAIRE DE SAISIE'!G20="B",'FORMULAIRE DE SAISIE'!G23="E",'FORMULAIRE DE SAISIE'!G23="F")</f>
        <v>0</v>
      </c>
      <c r="F12" s="104" t="b">
        <f>OR('FORMULAIRE DE SAISIE'!J20="A", 'FORMULAIRE DE SAISIE'!J20="B",'FORMULAIRE DE SAISIE'!J23="E",'FORMULAIRE DE SAISIE'!J23="F")</f>
        <v>0</v>
      </c>
      <c r="G12" s="104" t="b">
        <f>OR('FORMULAIRE DE SAISIE'!M20="A", 'FORMULAIRE DE SAISIE'!M20="B",'FORMULAIRE DE SAISIE'!M23="E",'FORMULAIRE DE SAISIE'!M23="F")</f>
        <v>0</v>
      </c>
    </row>
    <row r="13" spans="1:8" ht="15" x14ac:dyDescent="0.25">
      <c r="A13" t="s">
        <v>152</v>
      </c>
      <c r="C13" s="106">
        <f>'FORMULAIRE DE SAISIE'!T23</f>
        <v>4314.329999999999</v>
      </c>
      <c r="D13" s="106">
        <f>'FORMULAIRE DE SAISIE'!V23</f>
        <v>5299.0399999999991</v>
      </c>
      <c r="E13" s="106">
        <f>'FORMULAIRE DE SAISIE'!X23</f>
        <v>7141.46</v>
      </c>
      <c r="F13" s="106">
        <f>'FORMULAIRE DE SAISIE'!Z23</f>
        <v>10625.369999999999</v>
      </c>
      <c r="G13" s="106">
        <f>'FORMULAIRE DE SAISIE'!AB23</f>
        <v>12977.831009286927</v>
      </c>
    </row>
    <row r="14" spans="1:8" ht="15" x14ac:dyDescent="0.25">
      <c r="A14" t="s">
        <v>152</v>
      </c>
      <c r="C14" s="106">
        <f>'FORMULAIRE DE SAISIE'!T30</f>
        <v>8116.7599999999993</v>
      </c>
      <c r="D14" s="106">
        <f>'FORMULAIRE DE SAISIE'!V30</f>
        <v>8898.8099999999977</v>
      </c>
      <c r="E14" s="106">
        <f>'FORMULAIRE DE SAISIE'!X30</f>
        <v>12529.56</v>
      </c>
      <c r="F14" s="106">
        <f>'FORMULAIRE DE SAISIE'!Z30</f>
        <v>18622.04</v>
      </c>
      <c r="G14" s="106">
        <f>'FORMULAIRE DE SAISIE'!AB30</f>
        <v>18622.04</v>
      </c>
      <c r="H14" s="106"/>
    </row>
    <row r="15" spans="1:8" ht="15" x14ac:dyDescent="0.25">
      <c r="A15" t="s">
        <v>219</v>
      </c>
      <c r="C15" s="106">
        <f>C13+C14</f>
        <v>12431.089999999998</v>
      </c>
      <c r="D15" s="106">
        <f t="shared" ref="D15:G15" si="0">D13+D14</f>
        <v>14197.849999999997</v>
      </c>
      <c r="E15" s="106">
        <f t="shared" si="0"/>
        <v>19671.02</v>
      </c>
      <c r="F15" s="106">
        <f t="shared" si="0"/>
        <v>29247.41</v>
      </c>
      <c r="G15" s="106">
        <f t="shared" si="0"/>
        <v>31599.87100928693</v>
      </c>
      <c r="H15" s="106"/>
    </row>
    <row r="16" spans="1:8" ht="15" x14ac:dyDescent="0.25">
      <c r="A16" t="s">
        <v>153</v>
      </c>
      <c r="C16">
        <f>25</f>
        <v>25</v>
      </c>
      <c r="D16">
        <f>25</f>
        <v>25</v>
      </c>
      <c r="E16">
        <f>25</f>
        <v>25</v>
      </c>
      <c r="F16">
        <f>25</f>
        <v>25</v>
      </c>
      <c r="G16">
        <f>25</f>
        <v>25</v>
      </c>
    </row>
    <row r="17" spans="1:7" ht="15" x14ac:dyDescent="0.25">
      <c r="A17" t="s">
        <v>154</v>
      </c>
      <c r="C17" s="106">
        <f>(C13/C16)</f>
        <v>172.57319999999996</v>
      </c>
      <c r="D17" s="106">
        <f>(D13/D16)</f>
        <v>211.96159999999998</v>
      </c>
      <c r="E17" s="106">
        <f>(E13/E16)</f>
        <v>285.65840000000003</v>
      </c>
      <c r="F17" s="106">
        <f>(F13/F16)</f>
        <v>425.01479999999998</v>
      </c>
      <c r="G17" s="106">
        <f>(G13/G16)</f>
        <v>519.1132403714771</v>
      </c>
    </row>
    <row r="18" spans="1:7" ht="15" x14ac:dyDescent="0.25">
      <c r="A18" t="s">
        <v>202</v>
      </c>
      <c r="C18" s="106">
        <f>'FORMULAIRE DE SAISIE'!U23+'FORMULAIRE DE SAISIE'!U30</f>
        <v>82.5</v>
      </c>
      <c r="D18" s="106">
        <f>'FORMULAIRE DE SAISIE'!W23+'FORMULAIRE DE SAISIE'!W30</f>
        <v>41.25</v>
      </c>
      <c r="E18" s="106">
        <f>'FORMULAIRE DE SAISIE'!Y23+'FORMULAIRE DE SAISIE'!Y30</f>
        <v>105</v>
      </c>
      <c r="F18" s="106">
        <f>'FORMULAIRE DE SAISIE'!AA23+'FORMULAIRE DE SAISIE'!AA30</f>
        <v>103.125</v>
      </c>
      <c r="G18" s="106">
        <f>'FORMULAIRE DE SAISIE'!AC23+'FORMULAIRE DE SAISIE'!AC30</f>
        <v>118.125</v>
      </c>
    </row>
    <row r="19" spans="1:7" x14ac:dyDescent="0.3">
      <c r="A19" t="s">
        <v>155</v>
      </c>
      <c r="C19" s="104">
        <f>IF(C12=FALSE,0,IF(C12=TRUE,B6/D6,0))</f>
        <v>35.998800000000003</v>
      </c>
      <c r="D19" s="104">
        <f>IF(D12=FALSE,0,IF(D12=TRUE,B6/D6,0))</f>
        <v>35.998800000000003</v>
      </c>
      <c r="E19" s="104">
        <f>IF(E12=FALSE,0,IF(E12=TRUE,B6/D6,0))</f>
        <v>0</v>
      </c>
      <c r="F19" s="104">
        <f>IF(F12=FALSE,0,IF(F12=TRUE,B6/D6,0))</f>
        <v>0</v>
      </c>
      <c r="G19" s="104">
        <f>IF(G12=FALSE,0,IF(G12=TRUE,B6/D6,0))</f>
        <v>0</v>
      </c>
    </row>
    <row r="20" spans="1:7" ht="15" x14ac:dyDescent="0.25">
      <c r="A20" t="s">
        <v>156</v>
      </c>
      <c r="C20" s="155">
        <f>F4</f>
        <v>500</v>
      </c>
      <c r="D20" s="155">
        <f>F4</f>
        <v>500</v>
      </c>
      <c r="E20" s="155">
        <f>F4</f>
        <v>500</v>
      </c>
      <c r="F20" s="155">
        <f>F4</f>
        <v>500</v>
      </c>
      <c r="G20" s="155">
        <f>F4</f>
        <v>500</v>
      </c>
    </row>
    <row r="21" spans="1:7" x14ac:dyDescent="0.3">
      <c r="A21" t="s">
        <v>157</v>
      </c>
      <c r="C21" s="104">
        <f>IF(C13+C14=C13,0,IF(C13+C14=C14,0,IF(C13+C14=0,0,SUM(C17:C20))))</f>
        <v>791.07199999999989</v>
      </c>
      <c r="D21" s="104">
        <f>IF(D13+D14=D13,0,IF(D13+D14=D14,0,IF(D13+D14=0,0,SUM(D17:D20))))</f>
        <v>789.21039999999994</v>
      </c>
      <c r="E21" s="104">
        <f>IF(E13+E14=E13,0,IF(E13+E14=E14,0,IF(E13+E14=0,0,SUM(E17:E20))))</f>
        <v>890.65840000000003</v>
      </c>
      <c r="F21" s="104">
        <f>IF(F13+F14=F13,0,IF(F13+F14=F14,0,IF(F13+F14=0,0,SUM(F17:F20))))</f>
        <v>1028.1397999999999</v>
      </c>
      <c r="G21" s="104">
        <f>IF(G13+G14=G13,0,IF(G13+G14=G14,0,IF(G13+G14=0,0,SUM(G17:G20))))</f>
        <v>1137.2382403714771</v>
      </c>
    </row>
    <row r="23" spans="1:7" ht="15" x14ac:dyDescent="0.25">
      <c r="A23" t="s">
        <v>158</v>
      </c>
      <c r="B23">
        <v>45</v>
      </c>
      <c r="C23" t="s">
        <v>159</v>
      </c>
      <c r="D23">
        <v>4.5</v>
      </c>
    </row>
    <row r="24" spans="1:7" x14ac:dyDescent="0.3">
      <c r="A24" t="s">
        <v>160</v>
      </c>
      <c r="C24">
        <v>0.15</v>
      </c>
      <c r="D24" t="s">
        <v>161</v>
      </c>
      <c r="E24" s="161">
        <f>IF('FORMULAIRE DE SAISIE'!G44&lt;&gt;0,'FORMULAIRE DE SAISIE'!G44,180)</f>
        <v>180</v>
      </c>
    </row>
    <row r="27" spans="1:7" x14ac:dyDescent="0.3">
      <c r="A27" t="s">
        <v>162</v>
      </c>
      <c r="D27" t="s">
        <v>352</v>
      </c>
      <c r="F27" t="s">
        <v>163</v>
      </c>
    </row>
    <row r="28" spans="1:7" x14ac:dyDescent="0.3">
      <c r="D28" t="s">
        <v>164</v>
      </c>
      <c r="E28" t="s">
        <v>165</v>
      </c>
      <c r="F28" t="s">
        <v>164</v>
      </c>
      <c r="G28" t="s">
        <v>165</v>
      </c>
    </row>
    <row r="29" spans="1:7" x14ac:dyDescent="0.3">
      <c r="A29" t="s">
        <v>166</v>
      </c>
      <c r="D29">
        <f>'FORMULAIRE DE SAISIE'!F6/1000</f>
        <v>49.2</v>
      </c>
      <c r="E29">
        <f>(('FORMULAIRE DE SAISIE'!F6)/1000)*'FORMULAIRE DE SAISIE'!L6</f>
        <v>10332</v>
      </c>
      <c r="F29">
        <f>'FORMULAIRE DE SAISIE'!F6/1000</f>
        <v>49.2</v>
      </c>
      <c r="G29">
        <f>(('FORMULAIRE DE SAISIE'!F6)/1000)*'FORMULAIRE DE SAISIE'!I6</f>
        <v>4480.4800000000005</v>
      </c>
    </row>
    <row r="30" spans="1:7" ht="15" x14ac:dyDescent="0.25">
      <c r="A30" t="s">
        <v>167</v>
      </c>
      <c r="D30">
        <v>21</v>
      </c>
      <c r="E30">
        <f>(D29*D30/100)*'FORMULAIRE DE SAISIE'!L6</f>
        <v>2169.7200000000003</v>
      </c>
      <c r="F30">
        <v>25</v>
      </c>
      <c r="G30">
        <f>(F29*F30/100)*'FORMULAIRE DE SAISIE'!I6</f>
        <v>1120.1200000000001</v>
      </c>
    </row>
    <row r="31" spans="1:7" ht="15" x14ac:dyDescent="0.25">
      <c r="A31" t="s">
        <v>168</v>
      </c>
      <c r="D31">
        <v>20</v>
      </c>
      <c r="E31">
        <f>(D31*'FORMULAIRE DE SAISIE'!E6/60)*'FORMULAIRE DE SAISIE'!C12</f>
        <v>750</v>
      </c>
      <c r="F31">
        <v>6.66</v>
      </c>
      <c r="G31">
        <f>(F31*'FORMULAIRE DE SAISIE'!E6)/60*'FORMULAIRE DE SAISIE'!C12</f>
        <v>249.74999999999997</v>
      </c>
    </row>
    <row r="32" spans="1:7" x14ac:dyDescent="0.3">
      <c r="A32" t="s">
        <v>169</v>
      </c>
      <c r="D32">
        <v>20</v>
      </c>
      <c r="E32">
        <f>(D32*'FORMULAIRE DE SAISIE'!E6)/60*B23</f>
        <v>2250</v>
      </c>
      <c r="F32">
        <v>6.66</v>
      </c>
      <c r="G32">
        <f>(F32*'FORMULAIRE DE SAISIE'!E6)/60*D23</f>
        <v>74.924999999999997</v>
      </c>
    </row>
    <row r="33" spans="1:9" x14ac:dyDescent="0.3">
      <c r="A33" t="s">
        <v>170</v>
      </c>
      <c r="D33" s="105"/>
      <c r="E33" s="105"/>
      <c r="F33" s="105"/>
      <c r="G33" s="105"/>
    </row>
    <row r="34" spans="1:9" x14ac:dyDescent="0.3">
      <c r="A34" t="s">
        <v>171</v>
      </c>
      <c r="D34">
        <v>10</v>
      </c>
      <c r="E34">
        <f>(D34*'FORMULAIRE DE SAISIE'!E6)/60*'FORMULAIRE DE SAISIE'!C12</f>
        <v>375</v>
      </c>
      <c r="F34" s="105"/>
      <c r="G34" s="105"/>
    </row>
    <row r="35" spans="1:9" x14ac:dyDescent="0.3">
      <c r="A35" t="s">
        <v>196</v>
      </c>
      <c r="D35">
        <v>0.15</v>
      </c>
      <c r="E35">
        <f>I35</f>
        <v>810</v>
      </c>
      <c r="F35" s="105"/>
      <c r="G35" s="105"/>
      <c r="H35" s="5" t="s">
        <v>238</v>
      </c>
      <c r="I35" s="105">
        <f>(D35*'FORMULAIRE DE SAISIE'!E6*'FORMULAIRE DE SAISIE'!D6)/1000*E24</f>
        <v>810</v>
      </c>
    </row>
    <row r="36" spans="1:9" x14ac:dyDescent="0.3">
      <c r="A36" t="s">
        <v>172</v>
      </c>
      <c r="D36" s="105"/>
      <c r="E36" s="105"/>
      <c r="F36">
        <f>('FORMULAIRE DE SAISIE'!D6)*3</f>
        <v>600</v>
      </c>
      <c r="G36">
        <f>(F36/3)*1</f>
        <v>200</v>
      </c>
    </row>
    <row r="37" spans="1:9" x14ac:dyDescent="0.3">
      <c r="A37" t="s">
        <v>173</v>
      </c>
      <c r="D37" s="105"/>
      <c r="E37" s="105"/>
      <c r="F37">
        <f>('FORMULAIRE DE SAISIE'!D6)*3</f>
        <v>600</v>
      </c>
      <c r="G37">
        <f>F37*1</f>
        <v>600</v>
      </c>
    </row>
    <row r="38" spans="1:9" x14ac:dyDescent="0.3">
      <c r="A38" t="s">
        <v>174</v>
      </c>
      <c r="D38" s="105"/>
      <c r="E38" s="105"/>
      <c r="F38">
        <f>'FORMULAIRE DE SAISIE'!D6*3</f>
        <v>600</v>
      </c>
      <c r="G38">
        <f>(F38/3)*1</f>
        <v>200</v>
      </c>
    </row>
    <row r="39" spans="1:9" ht="16.2" x14ac:dyDescent="0.3">
      <c r="A39" t="s">
        <v>197</v>
      </c>
    </row>
    <row r="40" spans="1:9" ht="16.2" x14ac:dyDescent="0.3">
      <c r="A40" t="s">
        <v>198</v>
      </c>
    </row>
    <row r="42" spans="1:9" x14ac:dyDescent="0.3">
      <c r="A42" t="s">
        <v>175</v>
      </c>
    </row>
    <row r="44" spans="1:9" x14ac:dyDescent="0.3">
      <c r="A44" t="s">
        <v>176</v>
      </c>
      <c r="D44">
        <v>1.99</v>
      </c>
      <c r="E44" t="s">
        <v>177</v>
      </c>
      <c r="F44">
        <v>0</v>
      </c>
    </row>
    <row r="45" spans="1:9" x14ac:dyDescent="0.3">
      <c r="A45" t="s">
        <v>178</v>
      </c>
      <c r="C45">
        <f>(D44*F44)/365</f>
        <v>0</v>
      </c>
      <c r="D45" t="s">
        <v>179</v>
      </c>
      <c r="F45">
        <v>3.43</v>
      </c>
    </row>
    <row r="46" spans="1:9" x14ac:dyDescent="0.3">
      <c r="A46" t="s">
        <v>180</v>
      </c>
    </row>
    <row r="48" spans="1:9" x14ac:dyDescent="0.3">
      <c r="H48" t="s">
        <v>181</v>
      </c>
    </row>
    <row r="49" spans="1:15" x14ac:dyDescent="0.3">
      <c r="A49" t="s">
        <v>182</v>
      </c>
      <c r="F49" t="s">
        <v>199</v>
      </c>
      <c r="G49" t="s">
        <v>200</v>
      </c>
      <c r="H49" t="s">
        <v>199</v>
      </c>
      <c r="I49" t="s">
        <v>200</v>
      </c>
      <c r="J49" t="s">
        <v>199</v>
      </c>
      <c r="K49" t="s">
        <v>200</v>
      </c>
      <c r="L49" t="s">
        <v>199</v>
      </c>
      <c r="M49" t="s">
        <v>200</v>
      </c>
      <c r="N49" t="s">
        <v>199</v>
      </c>
      <c r="O49" t="s">
        <v>200</v>
      </c>
    </row>
    <row r="50" spans="1:15" x14ac:dyDescent="0.3">
      <c r="F50" t="s">
        <v>183</v>
      </c>
      <c r="G50">
        <v>1</v>
      </c>
      <c r="H50">
        <v>2</v>
      </c>
      <c r="J50">
        <v>3</v>
      </c>
      <c r="L50">
        <v>4</v>
      </c>
      <c r="N50">
        <v>5</v>
      </c>
    </row>
    <row r="51" spans="1:15" x14ac:dyDescent="0.3">
      <c r="A51" t="s">
        <v>184</v>
      </c>
      <c r="G51">
        <f>C21</f>
        <v>791.07199999999989</v>
      </c>
      <c r="I51" s="104">
        <f>D21</f>
        <v>789.21039999999994</v>
      </c>
      <c r="K51" s="104">
        <f>E21</f>
        <v>890.65840000000003</v>
      </c>
      <c r="M51" s="104">
        <f>F21</f>
        <v>1028.1397999999999</v>
      </c>
      <c r="O51" s="104">
        <f>G21</f>
        <v>1137.2382403714771</v>
      </c>
    </row>
    <row r="52" spans="1:15" x14ac:dyDescent="0.3">
      <c r="A52" t="s">
        <v>185</v>
      </c>
      <c r="F52">
        <f>E29+E30</f>
        <v>12501.720000000001</v>
      </c>
      <c r="G52">
        <f>G29+G30</f>
        <v>5600.6</v>
      </c>
      <c r="H52">
        <f>E29+E30</f>
        <v>12501.720000000001</v>
      </c>
      <c r="I52">
        <f>G29+G30</f>
        <v>5600.6</v>
      </c>
      <c r="J52">
        <f>E29+E30</f>
        <v>12501.720000000001</v>
      </c>
      <c r="K52">
        <f>G29+G30</f>
        <v>5600.6</v>
      </c>
      <c r="L52">
        <f>E29+E30</f>
        <v>12501.720000000001</v>
      </c>
      <c r="M52">
        <f>G29+G30</f>
        <v>5600.6</v>
      </c>
      <c r="N52">
        <f>E29+E30</f>
        <v>12501.720000000001</v>
      </c>
      <c r="O52">
        <f>G29+G30</f>
        <v>5600.6</v>
      </c>
    </row>
    <row r="53" spans="1:15" x14ac:dyDescent="0.3">
      <c r="A53" t="s">
        <v>186</v>
      </c>
      <c r="F53">
        <f>E31+E34</f>
        <v>1125</v>
      </c>
      <c r="G53">
        <f>G31</f>
        <v>249.74999999999997</v>
      </c>
      <c r="H53">
        <f>E31+E34</f>
        <v>1125</v>
      </c>
      <c r="I53">
        <f>G31</f>
        <v>249.74999999999997</v>
      </c>
      <c r="J53">
        <f>E31+E34</f>
        <v>1125</v>
      </c>
      <c r="K53">
        <f>G31</f>
        <v>249.74999999999997</v>
      </c>
      <c r="L53">
        <f>E31+E34</f>
        <v>1125</v>
      </c>
      <c r="M53">
        <f>G31</f>
        <v>249.74999999999997</v>
      </c>
      <c r="N53">
        <f>E31+E34</f>
        <v>1125</v>
      </c>
      <c r="O53">
        <f>G31</f>
        <v>249.74999999999997</v>
      </c>
    </row>
    <row r="54" spans="1:15" x14ac:dyDescent="0.3">
      <c r="A54" t="s">
        <v>187</v>
      </c>
      <c r="F54">
        <f>E32</f>
        <v>2250</v>
      </c>
      <c r="G54">
        <f>G32</f>
        <v>74.924999999999997</v>
      </c>
      <c r="H54">
        <f>E32</f>
        <v>2250</v>
      </c>
      <c r="I54">
        <f>G32</f>
        <v>74.924999999999997</v>
      </c>
      <c r="J54">
        <f>E32</f>
        <v>2250</v>
      </c>
      <c r="K54">
        <f>G32</f>
        <v>74.924999999999997</v>
      </c>
      <c r="L54">
        <f>E32</f>
        <v>2250</v>
      </c>
      <c r="M54">
        <f>G32</f>
        <v>74.924999999999997</v>
      </c>
      <c r="N54">
        <f>E32</f>
        <v>2250</v>
      </c>
      <c r="O54">
        <f>G32</f>
        <v>74.924999999999997</v>
      </c>
    </row>
    <row r="55" spans="1:15" x14ac:dyDescent="0.3">
      <c r="A55" t="s">
        <v>188</v>
      </c>
      <c r="F55" s="104">
        <f>'FORMULAIRE DE SAISIE'!D6*(('FORMULAIRE DE SAISIE'!E6*D44)/365)*F45</f>
        <v>561.01643835616449</v>
      </c>
      <c r="G55">
        <v>0</v>
      </c>
      <c r="H55" s="104">
        <f>'FORMULAIRE DE SAISIE'!D6*(('FORMULAIRE DE SAISIE'!E6*D44)/365)*F45</f>
        <v>561.01643835616449</v>
      </c>
      <c r="I55">
        <v>0</v>
      </c>
      <c r="J55" s="104">
        <f>'FORMULAIRE DE SAISIE'!D6*(('FORMULAIRE DE SAISIE'!E6*D44)/365)*F45</f>
        <v>561.01643835616449</v>
      </c>
      <c r="K55">
        <v>0</v>
      </c>
      <c r="L55" s="104">
        <f>'FORMULAIRE DE SAISIE'!D6*(('FORMULAIRE DE SAISIE'!E6*D44)/365)*F45</f>
        <v>561.01643835616449</v>
      </c>
      <c r="M55">
        <v>0</v>
      </c>
      <c r="N55" s="104">
        <f>'FORMULAIRE DE SAISIE'!D6*(('FORMULAIRE DE SAISIE'!E6*D44)/365)*F45</f>
        <v>561.01643835616449</v>
      </c>
      <c r="O55">
        <v>0</v>
      </c>
    </row>
    <row r="56" spans="1:15" x14ac:dyDescent="0.3">
      <c r="A56" t="s">
        <v>189</v>
      </c>
      <c r="F56">
        <f>E35</f>
        <v>810</v>
      </c>
      <c r="G56">
        <v>0</v>
      </c>
      <c r="H56">
        <f>E35</f>
        <v>810</v>
      </c>
      <c r="I56">
        <v>0</v>
      </c>
      <c r="J56">
        <f>E35</f>
        <v>810</v>
      </c>
      <c r="K56">
        <v>0</v>
      </c>
      <c r="L56">
        <f>E35</f>
        <v>810</v>
      </c>
      <c r="M56">
        <v>0</v>
      </c>
      <c r="N56">
        <f>E35</f>
        <v>810</v>
      </c>
      <c r="O56">
        <v>0</v>
      </c>
    </row>
    <row r="57" spans="1:15" x14ac:dyDescent="0.3">
      <c r="A57" t="s">
        <v>190</v>
      </c>
      <c r="F57" s="104">
        <f>((B4+B6+C13)/1000)*14.75</f>
        <v>150.66092499999999</v>
      </c>
      <c r="H57" s="104">
        <f>((B4+B6+C13)/1000)*14.75</f>
        <v>150.66092499999999</v>
      </c>
      <c r="J57" s="104">
        <f>((B4+B6+C13)/1000)*14.75</f>
        <v>150.66092499999999</v>
      </c>
      <c r="L57" s="104">
        <f>((B4+B6+C13)/1000)*14.75</f>
        <v>150.66092499999999</v>
      </c>
      <c r="N57" s="104">
        <f>((B4+B6+C13)/1000)*14.75</f>
        <v>150.66092499999999</v>
      </c>
    </row>
    <row r="58" spans="1:15" x14ac:dyDescent="0.3">
      <c r="A58" t="s">
        <v>191</v>
      </c>
      <c r="G58">
        <f>G36</f>
        <v>200</v>
      </c>
      <c r="I58">
        <f>G36</f>
        <v>200</v>
      </c>
      <c r="K58">
        <f>G36</f>
        <v>200</v>
      </c>
      <c r="M58">
        <f>G36</f>
        <v>200</v>
      </c>
      <c r="O58">
        <f>G36</f>
        <v>200</v>
      </c>
    </row>
    <row r="59" spans="1:15" x14ac:dyDescent="0.3">
      <c r="A59" t="s">
        <v>192</v>
      </c>
      <c r="G59">
        <f>G37</f>
        <v>600</v>
      </c>
      <c r="I59">
        <f>G37</f>
        <v>600</v>
      </c>
      <c r="K59">
        <f>G37</f>
        <v>600</v>
      </c>
      <c r="M59">
        <f>G37</f>
        <v>600</v>
      </c>
      <c r="O59">
        <f>G37</f>
        <v>600</v>
      </c>
    </row>
    <row r="60" spans="1:15" x14ac:dyDescent="0.3">
      <c r="A60" t="s">
        <v>193</v>
      </c>
      <c r="G60">
        <f>G38</f>
        <v>200</v>
      </c>
      <c r="I60">
        <f>G38</f>
        <v>200</v>
      </c>
      <c r="K60">
        <f>G38</f>
        <v>200</v>
      </c>
      <c r="M60">
        <f>G38</f>
        <v>200</v>
      </c>
      <c r="O60">
        <f>G38</f>
        <v>200</v>
      </c>
    </row>
    <row r="61" spans="1:15" x14ac:dyDescent="0.3">
      <c r="A61" t="s">
        <v>194</v>
      </c>
      <c r="F61">
        <f t="shared" ref="F61:O61" si="1">SUM(F51:F60)</f>
        <v>17398.397363356165</v>
      </c>
      <c r="G61">
        <f t="shared" si="1"/>
        <v>7716.3470000000007</v>
      </c>
      <c r="H61">
        <f t="shared" si="1"/>
        <v>17398.397363356165</v>
      </c>
      <c r="I61">
        <f t="shared" si="1"/>
        <v>7714.4854000000005</v>
      </c>
      <c r="J61">
        <f t="shared" si="1"/>
        <v>17398.397363356165</v>
      </c>
      <c r="K61">
        <f t="shared" si="1"/>
        <v>7815.9334000000008</v>
      </c>
      <c r="L61">
        <f t="shared" si="1"/>
        <v>17398.397363356165</v>
      </c>
      <c r="M61">
        <f t="shared" si="1"/>
        <v>7953.4148000000005</v>
      </c>
      <c r="N61">
        <f t="shared" si="1"/>
        <v>17398.397363356165</v>
      </c>
      <c r="O61">
        <f t="shared" si="1"/>
        <v>8062.5132403714779</v>
      </c>
    </row>
    <row r="62" spans="1:15" x14ac:dyDescent="0.3">
      <c r="A62" t="s">
        <v>195</v>
      </c>
      <c r="G62">
        <f>IF(G51=0, "Faux",F61-G61)</f>
        <v>9682.0503633561639</v>
      </c>
      <c r="I62">
        <f>IF(I51=0, "Faux",H61-I61)</f>
        <v>9683.9119633561641</v>
      </c>
      <c r="K62">
        <f>IF(K51=0, "Faux",J61-K61)</f>
        <v>9582.4639633561637</v>
      </c>
      <c r="M62">
        <f>IF(M51=0, "Faux",L61-M61)</f>
        <v>9444.982563356165</v>
      </c>
      <c r="O62">
        <f>IF(O51=0, "Faux",N61-O61)</f>
        <v>9335.8841229846876</v>
      </c>
    </row>
    <row r="63" spans="1:15" x14ac:dyDescent="0.3">
      <c r="A63" t="s">
        <v>201</v>
      </c>
      <c r="G63">
        <f>IF(G62="Faux","Mauvaise saisie",G62/'FORMULAIRE DE SAISIE'!D6)</f>
        <v>48.410251816780821</v>
      </c>
      <c r="I63">
        <f>IF(I62="Faux","Mauvaise saisie",I62/'FORMULAIRE DE SAISIE'!D6)</f>
        <v>48.419559816780819</v>
      </c>
      <c r="K63">
        <f>IF(K62="Faux","Mauvaise saisie",K62/'FORMULAIRE DE SAISIE'!D6)</f>
        <v>47.912319816780816</v>
      </c>
      <c r="M63">
        <f>IF(M62="Faux","Mauvaise saisie",M62/'FORMULAIRE DE SAISIE'!D6)</f>
        <v>47.224912816780822</v>
      </c>
      <c r="O63">
        <f>IF(O62="Faux","Mauvaise saisie",O62/'FORMULAIRE DE SAISIE'!D6)</f>
        <v>46.679420614923437</v>
      </c>
    </row>
  </sheetData>
  <sheetProtection password="E52D" sheet="1" objects="1" scenarios="1" selectLockedCells="1" selectUnlockedCells="1"/>
  <pageMargins left="0.7" right="0.7" top="0.75" bottom="0.75" header="0.3" footer="0.3"/>
  <pageSetup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459FB920BB77469244D2B3A8A664CC" ma:contentTypeVersion="9" ma:contentTypeDescription="Crée un document." ma:contentTypeScope="" ma:versionID="ff2b835cd514f08dcdc3312014ec15cb">
  <xsd:schema xmlns:xsd="http://www.w3.org/2001/XMLSchema" xmlns:xs="http://www.w3.org/2001/XMLSchema" xmlns:p="http://schemas.microsoft.com/office/2006/metadata/properties" xmlns:ns2="http://schemas.microsoft.com/sharepoint/v3/fields" xmlns:ns3="ce6abebc-5f58-4a9d-b917-892f1c6df50d" xmlns:ns4="a3a17dc7-384d-441a-a460-c9312755d2bb" xmlns:ns5="76e2b39d-fbe6-4e89-852c-2efd68e6a72f" targetNamespace="http://schemas.microsoft.com/office/2006/metadata/properties" ma:root="true" ma:fieldsID="eacff3bc2a78d795fd4569c88e853856" ns2:_="" ns3:_="" ns4:_="" ns5:_="">
    <xsd:import namespace="http://schemas.microsoft.com/sharepoint/v3/fields"/>
    <xsd:import namespace="ce6abebc-5f58-4a9d-b917-892f1c6df50d"/>
    <xsd:import namespace="a3a17dc7-384d-441a-a460-c9312755d2bb"/>
    <xsd:import namespace="76e2b39d-fbe6-4e89-852c-2efd68e6a72f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Années_x0020_financières" minOccurs="0"/>
                <xsd:element ref="ns4:Type_x0020_document_x0020_comité"/>
                <xsd:element ref="ns5:Espèces"/>
                <xsd:element ref="ns5:Sujets"/>
                <xsd:element ref="ns5:Type_x0020_de_x0020_productions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6abebc-5f58-4a9d-b917-892f1c6df50d" elementFormDefault="qualified">
    <xsd:import namespace="http://schemas.microsoft.com/office/2006/documentManagement/types"/>
    <xsd:import namespace="http://schemas.microsoft.com/office/infopath/2007/PartnerControls"/>
    <xsd:element name="Années_x0020_financières" ma:index="9" nillable="true" ma:displayName="Années financières" ma:format="Dropdown" ma:internalName="Ann_x00e9_es_x0020_financi_x00e8_res">
      <xsd:simpleType>
        <xsd:restriction base="dms:Choice">
          <xsd:enumeration value="2014-2015"/>
          <xsd:enumeration value="2015-2016"/>
          <xsd:enumeration value="2016-2017"/>
          <xsd:enumeration value="2017-2018"/>
          <xsd:enumeration value="2018-2019"/>
          <xsd:enumeration value="2019-2020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a17dc7-384d-441a-a460-c9312755d2bb" elementFormDefault="qualified">
    <xsd:import namespace="http://schemas.microsoft.com/office/2006/documentManagement/types"/>
    <xsd:import namespace="http://schemas.microsoft.com/office/infopath/2007/PartnerControls"/>
    <xsd:element name="Type_x0020_document_x0020_comité" ma:index="10" ma:displayName="Type document comité" ma:default="Aide-mémoire" ma:description="Veuillez sélectionner le type de votre document." ma:format="RadioButtons" ma:internalName="Type_x0020_document_x0020_comit_x00e9_">
      <xsd:simpleType>
        <xsd:restriction base="dms:Choice">
          <xsd:enumeration value="Aide-mémoire"/>
          <xsd:enumeration value="Articles/Bulletins"/>
          <xsd:enumeration value="Bilan"/>
          <xsd:enumeration value="Compte rendu"/>
          <xsd:enumeration value="Document de travail"/>
          <xsd:enumeration value="Étude scientifique"/>
          <xsd:enumeration value="Formulaire"/>
          <xsd:enumeration value="Gabarit"/>
          <xsd:enumeration value="Guide"/>
          <xsd:enumeration value="Ordre du jour"/>
          <xsd:enumeration value="Outil"/>
          <xsd:enumeration value="Plan de cours"/>
          <xsd:enumeration value="Présentation PowerPoint"/>
          <xsd:enumeration value="Projet novateur"/>
          <xsd:enumeration value="Présentation PowerPoint"/>
          <xsd:enumeration value="Autre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e2b39d-fbe6-4e89-852c-2efd68e6a72f" elementFormDefault="qualified">
    <xsd:import namespace="http://schemas.microsoft.com/office/2006/documentManagement/types"/>
    <xsd:import namespace="http://schemas.microsoft.com/office/infopath/2007/PartnerControls"/>
    <xsd:element name="Espèces" ma:index="11" ma:displayName="Espèces" ma:default="Ovin" ma:format="RadioButtons" ma:internalName="Esp_x00e8_ces">
      <xsd:simpleType>
        <xsd:restriction base="dms:Choice">
          <xsd:enumeration value="Ovin"/>
          <xsd:enumeration value="Caprin"/>
          <xsd:enumeration value="Ovin et Caprin"/>
        </xsd:restriction>
      </xsd:simpleType>
    </xsd:element>
    <xsd:element name="Sujets" ma:index="12" ma:displayName="Sujets" ma:default="Alimentation" ma:description="Veuillez sélectionner le sujet décrivant le mieux votre document." ma:format="RadioButtons" ma:internalName="Sujets0">
      <xsd:simpleType>
        <xsd:restriction base="dms:Choice">
          <xsd:enumeration value="Alimentation"/>
          <xsd:enumeration value="Conduite d'élevage"/>
          <xsd:enumeration value="Commercialisation/Marketing"/>
          <xsd:enumeration value="Construction"/>
          <xsd:enumeration value="Économie"/>
          <xsd:enumeration value="Environnement"/>
          <xsd:enumeration value="Gestion"/>
          <xsd:enumeration value="Génétique"/>
          <xsd:enumeration value="Industrie"/>
          <xsd:enumeration value="Reproduction"/>
          <xsd:enumeration value="Santé et bien-être animale"/>
          <xsd:enumeration value="Pâturage/fourrage"/>
          <xsd:enumeration value="Viande/lait (aliment)"/>
          <xsd:enumeration value="Autres"/>
        </xsd:restriction>
      </xsd:simpleType>
    </xsd:element>
    <xsd:element name="Type_x0020_de_x0020_productions" ma:index="13" ma:displayName="Type de productions" ma:default="Viande" ma:format="RadioButtons" ma:internalName="Type_x0020_de_x0020_productions">
      <xsd:simpleType>
        <xsd:restriction base="dms:Choice">
          <xsd:enumeration value="Viande"/>
          <xsd:enumeration value="Lait"/>
          <xsd:enumeration value="Fibre (mohair/laine)"/>
          <xsd:enumeration value="Sujet reproducteur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spèces xmlns="76e2b39d-fbe6-4e89-852c-2efd68e6a72f">Ovin et Caprin</Espèces>
    <Sujets xmlns="76e2b39d-fbe6-4e89-852c-2efd68e6a72f">Pâturage/fourrage</Sujets>
    <_Version xmlns="http://schemas.microsoft.com/sharepoint/v3/fields">27</_Version>
    <Type_x0020_de_x0020_productions xmlns="76e2b39d-fbe6-4e89-852c-2efd68e6a72f">Viande</Type_x0020_de_x0020_productions>
    <Années_x0020_financières xmlns="ce6abebc-5f58-4a9d-b917-892f1c6df50d" xsi:nil="true"/>
    <Type_x0020_document_x0020_comité xmlns="a3a17dc7-384d-441a-a460-c9312755d2bb">Outil</Type_x0020_document_x0020_comité>
  </documentManagement>
</p:properties>
</file>

<file path=customXml/itemProps1.xml><?xml version="1.0" encoding="utf-8"?>
<ds:datastoreItem xmlns:ds="http://schemas.openxmlformats.org/officeDocument/2006/customXml" ds:itemID="{F8EA9155-34AE-4F15-9CBF-EA0519627F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ce6abebc-5f58-4a9d-b917-892f1c6df50d"/>
    <ds:schemaRef ds:uri="a3a17dc7-384d-441a-a460-c9312755d2bb"/>
    <ds:schemaRef ds:uri="76e2b39d-fbe6-4e89-852c-2efd68e6a72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7B19308-1574-41DB-99A1-0DBDBEA6C6A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7EDCB2-1EF1-4675-A8C5-0749A3D5F9C5}">
  <ds:schemaRefs>
    <ds:schemaRef ds:uri="http://purl.org/dc/elements/1.1/"/>
    <ds:schemaRef ds:uri="http://purl.org/dc/dcmitype/"/>
    <ds:schemaRef ds:uri="a3a17dc7-384d-441a-a460-c9312755d2bb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sharepoint/v3/fields"/>
    <ds:schemaRef ds:uri="76e2b39d-fbe6-4e89-852c-2efd68e6a72f"/>
    <ds:schemaRef ds:uri="ce6abebc-5f58-4a9d-b917-892f1c6df50d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6</vt:i4>
      </vt:variant>
    </vt:vector>
  </HeadingPairs>
  <TitlesOfParts>
    <vt:vector size="12" baseType="lpstr">
      <vt:lpstr>NOTES À L'UTILISATEUR</vt:lpstr>
      <vt:lpstr>FORMULAIRE DE SAISIE</vt:lpstr>
      <vt:lpstr>OPTIONS POSSIBLES AR</vt:lpstr>
      <vt:lpstr>BASE DONNÉES</vt:lpstr>
      <vt:lpstr>CALCULS</vt:lpstr>
      <vt:lpstr>Feuil1</vt:lpstr>
      <vt:lpstr>Animaux</vt:lpstr>
      <vt:lpstr>Clôture_de_divisions_3_broches__piquets_de_fibre_de_verre</vt:lpstr>
      <vt:lpstr>ListAD</vt:lpstr>
      <vt:lpstr>ListEH</vt:lpstr>
      <vt:lpstr>'FORMULAIRE DE SAISIE'!Zone_d_impression</vt:lpstr>
      <vt:lpstr>'NOTES À L''UTILISATEUR'!Zone_d_impression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Outil calcul de pâturages</dc:title>
  <dc:creator>Diane Marois</dc:creator>
  <cp:lastModifiedBy>Landry Stéphanie (DRBSL) (Rimouski)</cp:lastModifiedBy>
  <cp:lastPrinted>2015-07-16T17:28:59Z</cp:lastPrinted>
  <dcterms:created xsi:type="dcterms:W3CDTF">2014-10-03T19:58:36Z</dcterms:created>
  <dcterms:modified xsi:type="dcterms:W3CDTF">2015-07-21T17:54:15Z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0x0101009B459FB920BB77469244D2B3A8A664CC</vt:lpwstr>
  </property>
</Properties>
</file>