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440" windowHeight="8580" tabRatio="723" activeTab="3"/>
  </bookViews>
  <sheets>
    <sheet name="Modele ASRA" sheetId="2" r:id="rId1"/>
    <sheet name="$US --&gt;$CAN" sheetId="3" r:id="rId2"/>
    <sheet name="Point mort VE" sheetId="1" r:id="rId3"/>
    <sheet name="Point mort coût production" sheetId="5" r:id="rId4"/>
  </sheets>
  <calcPr calcId="145621"/>
</workbook>
</file>

<file path=xl/calcChain.xml><?xml version="1.0" encoding="utf-8"?>
<calcChain xmlns="http://schemas.openxmlformats.org/spreadsheetml/2006/main">
  <c r="D66" i="2" l="1"/>
  <c r="F66" i="2"/>
  <c r="F62" i="2"/>
  <c r="D62" i="2" s="1"/>
  <c r="D58" i="2"/>
  <c r="D48" i="2"/>
  <c r="D28" i="2"/>
  <c r="D41" i="2" s="1"/>
  <c r="D52" i="2" s="1"/>
  <c r="D60" i="2" s="1"/>
  <c r="D10" i="2"/>
  <c r="D7" i="2"/>
  <c r="F11" i="5"/>
  <c r="F11" i="1"/>
  <c r="F48" i="2"/>
  <c r="F35" i="2"/>
  <c r="D35" i="2"/>
  <c r="F28" i="2"/>
  <c r="F41" i="2"/>
  <c r="F52" i="2" s="1"/>
  <c r="F60" i="2" s="1"/>
  <c r="F64" i="2" s="1"/>
  <c r="F68" i="2" s="1"/>
  <c r="H48" i="5"/>
  <c r="F48" i="5"/>
  <c r="H50" i="1"/>
  <c r="F50" i="1"/>
  <c r="P34" i="3"/>
  <c r="P32" i="3"/>
  <c r="P27" i="3"/>
  <c r="P26" i="3"/>
  <c r="P22" i="3"/>
  <c r="P14" i="3"/>
  <c r="P12" i="3"/>
  <c r="N34" i="3"/>
  <c r="H34" i="3"/>
  <c r="F34" i="3"/>
  <c r="H32" i="3"/>
  <c r="H27" i="3"/>
  <c r="H26" i="3"/>
  <c r="H22" i="3"/>
  <c r="H20" i="3"/>
  <c r="H36" i="3" s="1"/>
  <c r="F36" i="3" s="1"/>
  <c r="F20" i="3"/>
  <c r="F32" i="3"/>
  <c r="D28" i="3"/>
  <c r="D33" i="3"/>
  <c r="B28" i="3"/>
  <c r="B33" i="3" s="1"/>
  <c r="B36" i="3" s="1"/>
  <c r="F27" i="3"/>
  <c r="F26" i="3"/>
  <c r="F22" i="3"/>
  <c r="B24" i="3"/>
  <c r="D24" i="3"/>
  <c r="B30" i="3"/>
  <c r="N32" i="3"/>
  <c r="L28" i="3"/>
  <c r="L33" i="3" s="1"/>
  <c r="J28" i="3"/>
  <c r="J33" i="3"/>
  <c r="J36" i="3" s="1"/>
  <c r="N27" i="3"/>
  <c r="N26" i="3"/>
  <c r="N22" i="3"/>
  <c r="L16" i="3"/>
  <c r="L20" i="3" s="1"/>
  <c r="L24" i="3" s="1"/>
  <c r="J16" i="3"/>
  <c r="J20" i="3"/>
  <c r="J24" i="3"/>
  <c r="N14" i="3"/>
  <c r="N12" i="3"/>
  <c r="H46" i="5"/>
  <c r="H41" i="5"/>
  <c r="H40" i="5"/>
  <c r="H36" i="5"/>
  <c r="H28" i="5"/>
  <c r="H26" i="5"/>
  <c r="H20" i="5"/>
  <c r="H17" i="5"/>
  <c r="H14" i="5"/>
  <c r="H13" i="5"/>
  <c r="H12" i="5"/>
  <c r="H11" i="5"/>
  <c r="H52" i="5" s="1"/>
  <c r="H48" i="1"/>
  <c r="H43" i="1"/>
  <c r="H42" i="1"/>
  <c r="H38" i="1"/>
  <c r="H30" i="1"/>
  <c r="H28" i="1"/>
  <c r="H22" i="1"/>
  <c r="H19" i="1"/>
  <c r="H16" i="1"/>
  <c r="H13" i="1"/>
  <c r="H12" i="1"/>
  <c r="H11" i="1"/>
  <c r="F38" i="1"/>
  <c r="F14" i="5"/>
  <c r="F46" i="5"/>
  <c r="D42" i="5"/>
  <c r="D47" i="5" s="1"/>
  <c r="B42" i="5"/>
  <c r="B47" i="5" s="1"/>
  <c r="F41" i="5"/>
  <c r="F40" i="5"/>
  <c r="F36" i="5"/>
  <c r="D30" i="5"/>
  <c r="D34" i="5" s="1"/>
  <c r="D38" i="5" s="1"/>
  <c r="B30" i="5"/>
  <c r="B34" i="5"/>
  <c r="B38" i="5" s="1"/>
  <c r="F28" i="5"/>
  <c r="F26" i="5"/>
  <c r="F20" i="5"/>
  <c r="F17" i="5"/>
  <c r="D16" i="5"/>
  <c r="D19" i="5"/>
  <c r="D21" i="5" s="1"/>
  <c r="D23" i="5" s="1"/>
  <c r="E23" i="5" s="1"/>
  <c r="B16" i="5"/>
  <c r="B19" i="5"/>
  <c r="B21" i="5" s="1"/>
  <c r="B23" i="5" s="1"/>
  <c r="F13" i="5"/>
  <c r="F12" i="5"/>
  <c r="F48" i="1"/>
  <c r="F43" i="1"/>
  <c r="F42" i="1"/>
  <c r="F30" i="1"/>
  <c r="F28" i="1"/>
  <c r="F22" i="1"/>
  <c r="F19" i="1"/>
  <c r="F16" i="1"/>
  <c r="F13" i="1"/>
  <c r="F12" i="1"/>
  <c r="D44" i="1"/>
  <c r="D49" i="1" s="1"/>
  <c r="B44" i="1"/>
  <c r="B49" i="1"/>
  <c r="D32" i="1"/>
  <c r="D36" i="1" s="1"/>
  <c r="D40" i="1" s="1"/>
  <c r="B32" i="1"/>
  <c r="B36" i="1" s="1"/>
  <c r="B40" i="1" s="1"/>
  <c r="B46" i="1" s="1"/>
  <c r="B52" i="1" s="1"/>
  <c r="D15" i="1"/>
  <c r="D18" i="1" s="1"/>
  <c r="B15" i="1"/>
  <c r="B18" i="1" s="1"/>
  <c r="J30" i="3"/>
  <c r="D44" i="5" l="1"/>
  <c r="F52" i="5"/>
  <c r="D52" i="5"/>
  <c r="D50" i="5" s="1"/>
  <c r="H56" i="5"/>
  <c r="F56" i="5" s="1"/>
  <c r="D30" i="3"/>
  <c r="D20" i="1"/>
  <c r="D25" i="1" s="1"/>
  <c r="E25" i="1" s="1"/>
  <c r="D23" i="1"/>
  <c r="D46" i="1"/>
  <c r="H54" i="1"/>
  <c r="P36" i="3"/>
  <c r="N36" i="3" s="1"/>
  <c r="B54" i="1"/>
  <c r="B56" i="1" s="1"/>
  <c r="B20" i="1"/>
  <c r="B25" i="1" s="1"/>
  <c r="B23" i="1"/>
  <c r="D64" i="2"/>
  <c r="D68" i="2" s="1"/>
  <c r="D36" i="3"/>
  <c r="L30" i="3"/>
  <c r="H54" i="5"/>
  <c r="H52" i="1"/>
  <c r="H56" i="1"/>
  <c r="B44" i="5"/>
  <c r="B52" i="5" s="1"/>
  <c r="B50" i="5" s="1"/>
  <c r="B54" i="5" s="1"/>
  <c r="B56" i="5" s="1"/>
  <c r="D54" i="1" l="1"/>
  <c r="D56" i="1" s="1"/>
  <c r="F54" i="1"/>
  <c r="L36" i="3"/>
  <c r="D52" i="1"/>
  <c r="F52" i="1"/>
  <c r="D56" i="5"/>
  <c r="F54" i="5"/>
  <c r="D54" i="5"/>
  <c r="F56" i="1"/>
</calcChain>
</file>

<file path=xl/sharedStrings.xml><?xml version="1.0" encoding="utf-8"?>
<sst xmlns="http://schemas.openxmlformats.org/spreadsheetml/2006/main" count="323" uniqueCount="156">
  <si>
    <t>Exemple</t>
  </si>
  <si>
    <t>Conditions d'achat et engraissement</t>
  </si>
  <si>
    <t>Unité</t>
  </si>
  <si>
    <t>Note</t>
  </si>
  <si>
    <t>Aujourd'hui le</t>
  </si>
  <si>
    <t>(aaaa-mm-jj)</t>
  </si>
  <si>
    <t>Mettre la date du jour</t>
  </si>
  <si>
    <t>lb vif</t>
  </si>
  <si>
    <t>Perte de poids (shrink)</t>
  </si>
  <si>
    <t>%</t>
  </si>
  <si>
    <t>Pourcentage perte de poids à l'entrée en engraissement</t>
  </si>
  <si>
    <t>Poids à l'entrée en engraissement</t>
  </si>
  <si>
    <t>Poids d'abattage visé</t>
  </si>
  <si>
    <t>Poids à la sortie du parc d'engraissement</t>
  </si>
  <si>
    <t>Gain</t>
  </si>
  <si>
    <t>Poids d'abattage visé - Poids à l'entrée en engraissement</t>
  </si>
  <si>
    <t>GMQ</t>
  </si>
  <si>
    <t>lb vif / jour</t>
  </si>
  <si>
    <t>Gain moyen quotidien</t>
  </si>
  <si>
    <t>Durée engraissement</t>
  </si>
  <si>
    <t>jours</t>
  </si>
  <si>
    <t>Gain/GMQ</t>
  </si>
  <si>
    <t>Coût d'engraissement</t>
  </si>
  <si>
    <t>$/lb gain</t>
  </si>
  <si>
    <t>Votre coût de production (sans ASRA ou programme AGRI)</t>
  </si>
  <si>
    <t>Coût engraissement</t>
  </si>
  <si>
    <t>$/tête</t>
  </si>
  <si>
    <t>Date de livraison vs. Mois du contrat CME</t>
  </si>
  <si>
    <t>Prix de vente du bouvillon</t>
  </si>
  <si>
    <t>Prix de la bourse CME (Contrat live Cattle)</t>
  </si>
  <si>
    <t>$US/lb US vif livré abattoir</t>
  </si>
  <si>
    <t>Facteur d'ajustement du prix (Basis)</t>
  </si>
  <si>
    <t>Fournit par l'abattoir (peut-être - ou +)</t>
  </si>
  <si>
    <t>Prix de base total - 1</t>
  </si>
  <si>
    <t>Taux de rendement utilisé dans les contrats américains</t>
  </si>
  <si>
    <t>Prix de base total - 2</t>
  </si>
  <si>
    <t>Taux de change du marché ou contrat de change.
Le taux devrait être à la même période que le CME.</t>
  </si>
  <si>
    <t>Prix de base total - 3</t>
  </si>
  <si>
    <t>Facteur</t>
  </si>
  <si>
    <t>Prix de base total - 4</t>
  </si>
  <si>
    <t>Coût pour les frais de transport vers US</t>
  </si>
  <si>
    <t>Coût d'achat maximum VE</t>
  </si>
  <si>
    <t>$/lb vif</t>
  </si>
  <si>
    <t>Nombre de veaux achetés</t>
  </si>
  <si>
    <t>Nombre de bouvillon vendus</t>
  </si>
  <si>
    <t>Mortalités et rejets</t>
  </si>
  <si>
    <t>Poids d'achat (lb vif)</t>
  </si>
  <si>
    <t>Prix d'achat ($/lb)</t>
  </si>
  <si>
    <t>Prix du maïs-grain aux centres régionaux ($/T)</t>
  </si>
  <si>
    <t>$/100 kg</t>
  </si>
  <si>
    <t xml:space="preserve">Achats veaux </t>
  </si>
  <si>
    <t>Intrants pour cultures</t>
  </si>
  <si>
    <t>Alimentation achetée</t>
  </si>
  <si>
    <t>Carburants</t>
  </si>
  <si>
    <t>Location de machineries et bâtiments</t>
  </si>
  <si>
    <t>Soins vétérinaires, médicaments</t>
  </si>
  <si>
    <t>Litière</t>
  </si>
  <si>
    <t>Frais de mise en marché</t>
  </si>
  <si>
    <t>Électricité et propane</t>
  </si>
  <si>
    <t>A</t>
  </si>
  <si>
    <t>Total charges variables</t>
  </si>
  <si>
    <t>Entretien bâtiments et fonds de terre</t>
  </si>
  <si>
    <t>Assurances</t>
  </si>
  <si>
    <t>Taxes foncières nettes</t>
  </si>
  <si>
    <t>Intérêts MLT</t>
  </si>
  <si>
    <t>Autres frais</t>
  </si>
  <si>
    <t>B</t>
  </si>
  <si>
    <t>Total charges fixes</t>
  </si>
  <si>
    <t>C</t>
  </si>
  <si>
    <t>Amortissements</t>
  </si>
  <si>
    <t>D</t>
  </si>
  <si>
    <t>Rémunération de l'exploitant</t>
  </si>
  <si>
    <t>ventes de récoltes + ASRA céréales</t>
  </si>
  <si>
    <t>Autres revenus</t>
  </si>
  <si>
    <t>E</t>
  </si>
  <si>
    <t>Total autres revenus</t>
  </si>
  <si>
    <t>F</t>
  </si>
  <si>
    <t>Agri-Québec + Agri-investissement</t>
  </si>
  <si>
    <t>Gain de poids / bouvillon (kg)</t>
  </si>
  <si>
    <t>G</t>
  </si>
  <si>
    <t>= (A + B + C + D - E - F)</t>
  </si>
  <si>
    <t>H</t>
  </si>
  <si>
    <t>Revenus du marché</t>
  </si>
  <si>
    <t>Poids de vente (lb carc)</t>
  </si>
  <si>
    <t>Prix de vente ($/lb carcasse)</t>
  </si>
  <si>
    <t>I</t>
  </si>
  <si>
    <t xml:space="preserve">Compensation brute estimée inclus remb 25% </t>
  </si>
  <si>
    <t>= (G - H)</t>
  </si>
  <si>
    <t>J</t>
  </si>
  <si>
    <t>K</t>
  </si>
  <si>
    <t>= ( I - J)</t>
  </si>
  <si>
    <t>L</t>
  </si>
  <si>
    <t>M</t>
  </si>
  <si>
    <t>= ( K+L )</t>
  </si>
  <si>
    <t>Calcul du prix d'achat VE en fonction prix du marché BA (point mort VE)</t>
  </si>
  <si>
    <t>Poids d'achat VE visé</t>
  </si>
  <si>
    <t>Résultats affichés en bleu</t>
  </si>
  <si>
    <t>1)</t>
  </si>
  <si>
    <t>2)</t>
  </si>
  <si>
    <t>3)</t>
  </si>
  <si>
    <t>Instructions (en trois étapes)</t>
  </si>
  <si>
    <t>Livraison des bouvillons (contrat CME)</t>
  </si>
  <si>
    <r>
      <t xml:space="preserve">Saisir le prix de CME, </t>
    </r>
    <r>
      <rPr>
        <b/>
        <u/>
        <sz val="11"/>
        <color indexed="8"/>
        <rFont val="Calibri"/>
        <family val="2"/>
      </rPr>
      <t>selon le mois indiqué dans le carré BLEU</t>
    </r>
  </si>
  <si>
    <t>Message</t>
  </si>
  <si>
    <t>Prix de vente final Bouvillon</t>
  </si>
  <si>
    <t>Calcul du coût de production (point mort)</t>
  </si>
  <si>
    <t>Coût d'achat moyen VE</t>
  </si>
  <si>
    <t>Coût de vente maximum BA</t>
  </si>
  <si>
    <t>Moyenne de la facture</t>
  </si>
  <si>
    <t>Saisir vos
données</t>
  </si>
  <si>
    <t>Calcul du prix US en équivalent Canadien</t>
  </si>
  <si>
    <t>Prix de la bourse CME/5 AREA/SPOT</t>
  </si>
  <si>
    <t>Préparé par : Agence de vente bouvillon</t>
  </si>
  <si>
    <t>CARCASSE</t>
  </si>
  <si>
    <t>Facteur d'ajustement - Divers</t>
  </si>
  <si>
    <t>Vérifier Message (correct/incorrect)</t>
  </si>
  <si>
    <t>Facteur d'ajustement du rendement
carcasse US par FADQ</t>
  </si>
  <si>
    <t>$US/lb US carcasse livré abattoir</t>
  </si>
  <si>
    <t>Taux de référence pour la conversion
du poids vif à carcasse</t>
  </si>
  <si>
    <t>Poids carcasse / poids vif</t>
  </si>
  <si>
    <t>% de change US/CA</t>
  </si>
  <si>
    <t>$CA/lb US carcasse livré abattoir</t>
  </si>
  <si>
    <t>Facteur d'ajustement du rendement
carcasse CA par FADQ</t>
  </si>
  <si>
    <t>$CA/lb CA carcasse livré abattoir</t>
  </si>
  <si>
    <t>Tarif moyen du transport  vers US (en équivalent $CA/lb US carcasse)</t>
  </si>
  <si>
    <t>$CA//lb CA carcasse</t>
  </si>
  <si>
    <t>Tarif moyen du transport  vers US (en équivalent $CA/lb CA vif)</t>
  </si>
  <si>
    <t>$CA/lb carcasse pris à la ferme</t>
  </si>
  <si>
    <t>$CA/lb US carcasse</t>
  </si>
  <si>
    <t>$CA/lb CA carcasse</t>
  </si>
  <si>
    <t>$CA/lb carcasse à la ferme</t>
  </si>
  <si>
    <t>À l'achat (enCA, courtier, producteur VE)</t>
  </si>
  <si>
    <t>$CA/tête</t>
  </si>
  <si>
    <t>Prix d'achat maximum VE</t>
  </si>
  <si>
    <t>US/CAN</t>
  </si>
  <si>
    <t>VIVANT</t>
  </si>
  <si>
    <t>Compléter les cellules en JAUNE</t>
  </si>
  <si>
    <t>Compléter les 13 cellules en JAUNE</t>
  </si>
  <si>
    <t>(au besoin pour le producteur)</t>
  </si>
  <si>
    <t>VERSION PC - 2,0</t>
  </si>
  <si>
    <t>Entretien de machines</t>
  </si>
  <si>
    <t>forfait animaux</t>
  </si>
  <si>
    <t>forfait autres</t>
  </si>
  <si>
    <t>Salaire des employés et de la famille</t>
  </si>
  <si>
    <t>Intérêts à court terme</t>
  </si>
  <si>
    <t>TOTAL CHARGES  (A+B+C+D)</t>
  </si>
  <si>
    <t>Vente de rejets, primes, engraissement forfait</t>
  </si>
  <si>
    <t>Ventes de veaux d'embouche</t>
  </si>
  <si>
    <t>Agri-investissement (arrimage 3/2)</t>
  </si>
  <si>
    <t>Cotisation</t>
  </si>
  <si>
    <t>Compensation nette estimée</t>
  </si>
  <si>
    <t>TOTAL ASRA NETTE + AGRI</t>
  </si>
  <si>
    <t>Autres revenus du modèle ASRA-BA</t>
  </si>
  <si>
    <t>MODÈLE ASRA 2015</t>
  </si>
  <si>
    <t>Janvier à décembre 2015</t>
  </si>
  <si>
    <t>Revenu stabilisé ajusté (Agri-investissements arrimé)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</si>
</sst>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.0"/>
    <numFmt numFmtId="165" formatCode="mmm"/>
    <numFmt numFmtId="166" formatCode="_ * #,##0.0000_)\ &quot;$&quot;_ ;_ * \(#,##0.0000\)\ &quot;$&quot;_ ;_ * &quot;-&quot;??_)\ &quot;$&quot;_ ;_ @_ "/>
    <numFmt numFmtId="167" formatCode="0.0000"/>
    <numFmt numFmtId="168" formatCode="0.000"/>
    <numFmt numFmtId="169" formatCode="_ * #,##0_)\ &quot;$&quot;_ ;_ * \(#,##0\)\ &quot;$&quot;_ ;_ * &quot;-&quot;??_)\ &quot;$&quot;_ ;_ @_ "/>
    <numFmt numFmtId="170" formatCode="0.0%"/>
    <numFmt numFmtId="171" formatCode="_ * #,##0.0_)\ _$_ ;_ * \(#,##0.0\)\ _$_ ;_ * &quot;-&quot;??_)\ _$_ ;_ @_ "/>
    <numFmt numFmtId="172" formatCode="_ * #,##0.000_)\ &quot;$&quot;_ ;_ * \(#,##0.000\)\ &quot;$&quot;_ ;_ * &quot;-&quot;??_)\ &quot;$&quot;_ ;_ @_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indexed="8"/>
      <name val="Arial"/>
      <family val="2"/>
    </font>
    <font>
      <b/>
      <u val="double"/>
      <sz val="12"/>
      <name val="Arial"/>
      <family val="2"/>
    </font>
    <font>
      <b/>
      <u val="double"/>
      <sz val="10"/>
      <color indexed="8"/>
      <name val="Arial Narrow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b/>
      <u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 Narrow"/>
      <family val="2"/>
    </font>
    <font>
      <b/>
      <sz val="9"/>
      <name val="Arial"/>
      <family val="2"/>
    </font>
    <font>
      <i/>
      <sz val="10"/>
      <color indexed="8"/>
      <name val="Arial Narrow"/>
      <family val="2"/>
    </font>
    <font>
      <sz val="14"/>
      <color indexed="8"/>
      <name val="Calibri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2" fillId="2" borderId="1" xfId="0" applyNumberFormat="1" applyFont="1" applyFill="1" applyBorder="1"/>
    <xf numFmtId="0" fontId="0" fillId="0" borderId="0" xfId="0" quotePrefix="1"/>
    <xf numFmtId="0" fontId="0" fillId="0" borderId="1" xfId="0" applyBorder="1" applyAlignment="1">
      <alignment horizontal="right"/>
    </xf>
    <xf numFmtId="0" fontId="0" fillId="2" borderId="1" xfId="0" applyFill="1" applyBorder="1"/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" fontId="0" fillId="0" borderId="0" xfId="0" applyNumberFormat="1" applyAlignment="1">
      <alignment horizontal="right"/>
    </xf>
    <xf numFmtId="1" fontId="0" fillId="0" borderId="0" xfId="0" applyNumberFormat="1"/>
    <xf numFmtId="0" fontId="5" fillId="0" borderId="0" xfId="0" applyFont="1"/>
    <xf numFmtId="167" fontId="6" fillId="2" borderId="1" xfId="0" applyNumberFormat="1" applyFont="1" applyFill="1" applyBorder="1"/>
    <xf numFmtId="166" fontId="2" fillId="0" borderId="1" xfId="2" applyNumberFormat="1" applyFont="1" applyBorder="1" applyAlignment="1">
      <alignment horizontal="right"/>
    </xf>
    <xf numFmtId="167" fontId="2" fillId="2" borderId="1" xfId="0" applyNumberFormat="1" applyFont="1" applyFill="1" applyBorder="1"/>
    <xf numFmtId="0" fontId="0" fillId="2" borderId="0" xfId="0" applyFill="1"/>
    <xf numFmtId="167" fontId="0" fillId="0" borderId="1" xfId="0" applyNumberFormat="1" applyBorder="1" applyAlignment="1">
      <alignment horizontal="right"/>
    </xf>
    <xf numFmtId="167" fontId="0" fillId="2" borderId="1" xfId="0" applyNumberFormat="1" applyFill="1" applyBorder="1"/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Fill="1" applyBorder="1" applyAlignment="1">
      <alignment horizontal="center"/>
    </xf>
    <xf numFmtId="0" fontId="5" fillId="3" borderId="2" xfId="0" applyFont="1" applyFill="1" applyBorder="1"/>
    <xf numFmtId="166" fontId="5" fillId="3" borderId="3" xfId="2" applyNumberFormat="1" applyFont="1" applyFill="1" applyBorder="1" applyAlignment="1">
      <alignment horizontal="right"/>
    </xf>
    <xf numFmtId="167" fontId="5" fillId="2" borderId="3" xfId="0" applyNumberFormat="1" applyFont="1" applyFill="1" applyBorder="1"/>
    <xf numFmtId="169" fontId="5" fillId="3" borderId="3" xfId="2" applyNumberFormat="1" applyFont="1" applyFill="1" applyBorder="1" applyAlignment="1">
      <alignment horizontal="right"/>
    </xf>
    <xf numFmtId="44" fontId="5" fillId="3" borderId="3" xfId="2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49" fontId="13" fillId="0" borderId="4" xfId="0" applyNumberFormat="1" applyFont="1" applyFill="1" applyBorder="1" applyAlignment="1" applyProtection="1">
      <alignment horizontal="left"/>
    </xf>
    <xf numFmtId="164" fontId="14" fillId="0" borderId="5" xfId="0" applyNumberFormat="1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6" xfId="0" applyFont="1" applyFill="1" applyBorder="1" applyProtection="1"/>
    <xf numFmtId="0" fontId="14" fillId="0" borderId="0" xfId="0" applyFont="1" applyBorder="1" applyProtection="1"/>
    <xf numFmtId="49" fontId="13" fillId="0" borderId="7" xfId="0" applyNumberFormat="1" applyFont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14" fillId="0" borderId="0" xfId="0" applyFont="1" applyFill="1" applyBorder="1" applyProtection="1"/>
    <xf numFmtId="49" fontId="13" fillId="0" borderId="8" xfId="0" applyNumberFormat="1" applyFont="1" applyFill="1" applyBorder="1" applyAlignment="1" applyProtection="1">
      <alignment horizontal="left"/>
    </xf>
    <xf numFmtId="170" fontId="14" fillId="0" borderId="9" xfId="3" applyNumberFormat="1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10" xfId="0" applyFont="1" applyFill="1" applyBorder="1" applyProtection="1"/>
    <xf numFmtId="49" fontId="13" fillId="0" borderId="0" xfId="0" applyNumberFormat="1" applyFont="1" applyBorder="1" applyProtection="1"/>
    <xf numFmtId="44" fontId="12" fillId="0" borderId="0" xfId="2" applyFont="1" applyBorder="1" applyProtection="1"/>
    <xf numFmtId="44" fontId="15" fillId="0" borderId="9" xfId="2" applyFont="1" applyBorder="1" applyProtection="1"/>
    <xf numFmtId="44" fontId="15" fillId="0" borderId="10" xfId="2" applyFont="1" applyBorder="1" applyProtection="1"/>
    <xf numFmtId="0" fontId="12" fillId="0" borderId="0" xfId="0" applyFont="1" applyBorder="1" applyProtection="1"/>
    <xf numFmtId="0" fontId="15" fillId="0" borderId="11" xfId="0" applyFont="1" applyBorder="1" applyProtection="1"/>
    <xf numFmtId="0" fontId="15" fillId="0" borderId="12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4" fontId="8" fillId="0" borderId="0" xfId="2" applyFont="1" applyBorder="1" applyAlignment="1" applyProtection="1">
      <alignment horizontal="center"/>
    </xf>
    <xf numFmtId="0" fontId="17" fillId="4" borderId="0" xfId="0" applyFont="1" applyFill="1" applyBorder="1" applyProtection="1"/>
    <xf numFmtId="44" fontId="8" fillId="4" borderId="0" xfId="2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vertical="center"/>
    </xf>
    <xf numFmtId="44" fontId="19" fillId="5" borderId="0" xfId="2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44" fontId="8" fillId="0" borderId="0" xfId="2" applyFont="1" applyBorder="1" applyProtection="1"/>
    <xf numFmtId="0" fontId="17" fillId="6" borderId="0" xfId="0" applyFont="1" applyFill="1" applyBorder="1" applyProtection="1"/>
    <xf numFmtId="0" fontId="19" fillId="7" borderId="0" xfId="0" applyFont="1" applyFill="1" applyBorder="1" applyAlignment="1" applyProtection="1">
      <alignment horizontal="left" vertical="center"/>
    </xf>
    <xf numFmtId="0" fontId="20" fillId="7" borderId="0" xfId="0" applyFont="1" applyFill="1" applyBorder="1" applyAlignment="1" applyProtection="1">
      <alignment vertical="center"/>
    </xf>
    <xf numFmtId="44" fontId="19" fillId="7" borderId="0" xfId="2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left" vertical="center"/>
    </xf>
    <xf numFmtId="0" fontId="20" fillId="8" borderId="0" xfId="0" applyFont="1" applyFill="1" applyBorder="1" applyAlignment="1" applyProtection="1">
      <alignment vertical="center"/>
    </xf>
    <xf numFmtId="44" fontId="19" fillId="8" borderId="0" xfId="2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44" fontId="19" fillId="0" borderId="0" xfId="2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1" fillId="0" borderId="0" xfId="0" quotePrefix="1" applyFont="1" applyFill="1" applyBorder="1" applyAlignment="1" applyProtection="1">
      <alignment horizontal="left" vertical="center"/>
    </xf>
    <xf numFmtId="172" fontId="11" fillId="0" borderId="0" xfId="2" applyNumberFormat="1" applyFont="1" applyFill="1" applyBorder="1" applyAlignment="1" applyProtection="1">
      <alignment vertical="center"/>
    </xf>
    <xf numFmtId="172" fontId="8" fillId="0" borderId="0" xfId="2" applyNumberFormat="1" applyFont="1" applyBorder="1" applyProtection="1"/>
    <xf numFmtId="0" fontId="19" fillId="9" borderId="0" xfId="0" applyFont="1" applyFill="1" applyBorder="1" applyAlignment="1" applyProtection="1">
      <alignment vertical="center"/>
    </xf>
    <xf numFmtId="0" fontId="20" fillId="9" borderId="0" xfId="0" applyFont="1" applyFill="1" applyBorder="1" applyAlignment="1" applyProtection="1">
      <alignment vertical="center"/>
    </xf>
    <xf numFmtId="44" fontId="19" fillId="9" borderId="0" xfId="2" applyFont="1" applyFill="1" applyBorder="1" applyAlignment="1" applyProtection="1">
      <alignment horizontal="center" vertical="center"/>
    </xf>
    <xf numFmtId="172" fontId="19" fillId="9" borderId="0" xfId="2" applyNumberFormat="1" applyFont="1" applyFill="1" applyBorder="1" applyAlignment="1" applyProtection="1">
      <alignment vertical="center"/>
    </xf>
    <xf numFmtId="172" fontId="14" fillId="0" borderId="0" xfId="2" applyNumberFormat="1" applyFont="1" applyBorder="1" applyProtection="1"/>
    <xf numFmtId="0" fontId="13" fillId="0" borderId="4" xfId="0" applyFont="1" applyFill="1" applyBorder="1" applyAlignment="1" applyProtection="1">
      <alignment horizontal="left"/>
    </xf>
    <xf numFmtId="1" fontId="14" fillId="0" borderId="6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Protection="1"/>
    <xf numFmtId="172" fontId="12" fillId="0" borderId="0" xfId="2" applyNumberFormat="1" applyFont="1" applyFill="1" applyBorder="1" applyProtection="1"/>
    <xf numFmtId="172" fontId="12" fillId="0" borderId="0" xfId="2" applyNumberFormat="1" applyFont="1" applyBorder="1" applyProtection="1"/>
    <xf numFmtId="44" fontId="17" fillId="0" borderId="0" xfId="2" applyFont="1" applyBorder="1" applyProtection="1"/>
    <xf numFmtId="0" fontId="19" fillId="10" borderId="0" xfId="0" applyFont="1" applyFill="1" applyBorder="1" applyAlignment="1" applyProtection="1">
      <alignment vertical="center"/>
    </xf>
    <xf numFmtId="0" fontId="20" fillId="10" borderId="0" xfId="0" applyFont="1" applyFill="1" applyBorder="1" applyAlignment="1" applyProtection="1">
      <alignment vertical="center"/>
    </xf>
    <xf numFmtId="44" fontId="19" fillId="10" borderId="0" xfId="2" applyFont="1" applyFill="1" applyBorder="1" applyAlignment="1" applyProtection="1">
      <alignment horizontal="center" vertical="center"/>
    </xf>
    <xf numFmtId="172" fontId="19" fillId="10" borderId="0" xfId="2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44" fontId="19" fillId="2" borderId="0" xfId="2" applyFont="1" applyFill="1" applyBorder="1" applyAlignment="1" applyProtection="1">
      <alignment horizontal="center" vertical="center"/>
    </xf>
    <xf numFmtId="172" fontId="11" fillId="0" borderId="0" xfId="0" applyNumberFormat="1" applyFont="1" applyBorder="1" applyAlignment="1" applyProtection="1">
      <alignment vertical="center"/>
    </xf>
    <xf numFmtId="0" fontId="22" fillId="0" borderId="0" xfId="0" applyFont="1" applyBorder="1" applyProtection="1"/>
    <xf numFmtId="172" fontId="12" fillId="0" borderId="0" xfId="0" applyNumberFormat="1" applyFont="1" applyBorder="1" applyProtection="1"/>
    <xf numFmtId="172" fontId="14" fillId="0" borderId="0" xfId="0" applyNumberFormat="1" applyFont="1" applyBorder="1" applyProtection="1"/>
    <xf numFmtId="172" fontId="19" fillId="8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5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Continuous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23" fillId="3" borderId="1" xfId="0" applyFont="1" applyFill="1" applyBorder="1"/>
    <xf numFmtId="0" fontId="0" fillId="0" borderId="1" xfId="0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5" fillId="0" borderId="0" xfId="0" applyFont="1" applyFill="1" applyBorder="1"/>
    <xf numFmtId="44" fontId="0" fillId="0" borderId="0" xfId="0" applyNumberFormat="1"/>
    <xf numFmtId="0" fontId="16" fillId="0" borderId="0" xfId="0" applyFont="1" applyBorder="1" applyProtection="1"/>
    <xf numFmtId="49" fontId="26" fillId="0" borderId="8" xfId="0" applyNumberFormat="1" applyFont="1" applyFill="1" applyBorder="1" applyAlignment="1" applyProtection="1">
      <alignment horizontal="left"/>
    </xf>
    <xf numFmtId="44" fontId="27" fillId="0" borderId="9" xfId="2" applyFont="1" applyFill="1" applyBorder="1" applyAlignment="1" applyProtection="1">
      <alignment horizontal="center"/>
    </xf>
    <xf numFmtId="49" fontId="26" fillId="0" borderId="0" xfId="0" applyNumberFormat="1" applyFont="1" applyBorder="1" applyProtection="1"/>
    <xf numFmtId="0" fontId="27" fillId="0" borderId="0" xfId="0" applyFont="1" applyBorder="1" applyProtection="1"/>
    <xf numFmtId="49" fontId="28" fillId="0" borderId="2" xfId="0" applyNumberFormat="1" applyFont="1" applyBorder="1" applyAlignment="1" applyProtection="1">
      <alignment horizontal="left"/>
    </xf>
    <xf numFmtId="169" fontId="29" fillId="0" borderId="11" xfId="2" applyNumberFormat="1" applyFont="1" applyBorder="1" applyProtection="1"/>
    <xf numFmtId="44" fontId="0" fillId="0" borderId="0" xfId="0" applyNumberFormat="1" applyFill="1"/>
    <xf numFmtId="0" fontId="24" fillId="0" borderId="8" xfId="0" applyFont="1" applyFill="1" applyBorder="1" applyAlignment="1" applyProtection="1">
      <alignment horizontal="left"/>
    </xf>
    <xf numFmtId="44" fontId="25" fillId="0" borderId="10" xfId="2" applyFont="1" applyBorder="1" applyAlignment="1" applyProtection="1">
      <alignment horizontal="center"/>
    </xf>
    <xf numFmtId="165" fontId="5" fillId="3" borderId="13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0" fillId="2" borderId="14" xfId="0" applyFill="1" applyBorder="1"/>
    <xf numFmtId="0" fontId="2" fillId="2" borderId="15" xfId="0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right"/>
    </xf>
    <xf numFmtId="164" fontId="0" fillId="11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Alignment="1">
      <alignment horizontal="right"/>
    </xf>
    <xf numFmtId="166" fontId="30" fillId="11" borderId="1" xfId="2" applyNumberFormat="1" applyFont="1" applyFill="1" applyBorder="1" applyAlignment="1">
      <alignment horizontal="right"/>
    </xf>
    <xf numFmtId="166" fontId="1" fillId="11" borderId="1" xfId="2" applyNumberFormat="1" applyFont="1" applyFill="1" applyBorder="1" applyAlignment="1">
      <alignment horizontal="right"/>
    </xf>
    <xf numFmtId="166" fontId="1" fillId="0" borderId="1" xfId="2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7" fontId="0" fillId="11" borderId="1" xfId="0" applyNumberFormat="1" applyFont="1" applyFill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3" xfId="2" applyNumberFormat="1" applyFont="1" applyFill="1" applyBorder="1" applyAlignment="1">
      <alignment horizontal="right"/>
    </xf>
    <xf numFmtId="169" fontId="1" fillId="0" borderId="3" xfId="2" applyNumberFormat="1" applyFont="1" applyFill="1" applyBorder="1" applyAlignment="1">
      <alignment horizontal="right"/>
    </xf>
    <xf numFmtId="44" fontId="1" fillId="0" borderId="3" xfId="2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11" borderId="1" xfId="0" quotePrefix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14" fontId="30" fillId="0" borderId="1" xfId="0" applyNumberFormat="1" applyFont="1" applyFill="1" applyBorder="1" applyAlignment="1">
      <alignment horizontal="right"/>
    </xf>
    <xf numFmtId="14" fontId="6" fillId="2" borderId="11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quotePrefix="1" applyBorder="1"/>
    <xf numFmtId="169" fontId="1" fillId="0" borderId="16" xfId="2" applyNumberFormat="1" applyFont="1" applyFill="1" applyBorder="1" applyAlignment="1">
      <alignment horizontal="right"/>
    </xf>
    <xf numFmtId="167" fontId="5" fillId="0" borderId="16" xfId="0" applyNumberFormat="1" applyFont="1" applyFill="1" applyBorder="1"/>
    <xf numFmtId="169" fontId="5" fillId="0" borderId="16" xfId="2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9" fontId="0" fillId="0" borderId="0" xfId="2" applyNumberFormat="1" applyFont="1"/>
    <xf numFmtId="169" fontId="0" fillId="0" borderId="0" xfId="0" applyNumberFormat="1"/>
    <xf numFmtId="167" fontId="0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9" fontId="1" fillId="0" borderId="1" xfId="2" applyNumberFormat="1" applyFont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31" fillId="0" borderId="0" xfId="0" applyFont="1"/>
    <xf numFmtId="0" fontId="32" fillId="0" borderId="0" xfId="0" applyFont="1"/>
    <xf numFmtId="0" fontId="5" fillId="0" borderId="0" xfId="0" applyFont="1" applyAlignment="1">
      <alignment horizontal="center"/>
    </xf>
    <xf numFmtId="166" fontId="30" fillId="0" borderId="0" xfId="2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0" fontId="0" fillId="0" borderId="0" xfId="0" quotePrefix="1" applyFill="1" applyBorder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0" fontId="2" fillId="0" borderId="0" xfId="0" applyFont="1" applyFill="1" applyBorder="1"/>
    <xf numFmtId="166" fontId="6" fillId="0" borderId="0" xfId="2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44" fontId="5" fillId="3" borderId="3" xfId="2" applyFont="1" applyFill="1" applyBorder="1" applyAlignment="1">
      <alignment horizontal="right"/>
    </xf>
    <xf numFmtId="0" fontId="2" fillId="1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12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44" fontId="0" fillId="11" borderId="1" xfId="2" applyFont="1" applyFill="1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166" fontId="0" fillId="2" borderId="1" xfId="0" applyNumberFormat="1" applyFill="1" applyBorder="1"/>
    <xf numFmtId="169" fontId="0" fillId="11" borderId="1" xfId="2" applyNumberFormat="1" applyFont="1" applyFill="1" applyBorder="1" applyAlignment="1">
      <alignment horizontal="right"/>
    </xf>
    <xf numFmtId="0" fontId="31" fillId="0" borderId="0" xfId="0" applyFont="1" applyFill="1"/>
    <xf numFmtId="0" fontId="0" fillId="12" borderId="1" xfId="0" applyFill="1" applyBorder="1" applyAlignment="1">
      <alignment horizontal="left"/>
    </xf>
    <xf numFmtId="0" fontId="23" fillId="13" borderId="1" xfId="0" applyFont="1" applyFill="1" applyBorder="1"/>
    <xf numFmtId="166" fontId="6" fillId="13" borderId="1" xfId="2" applyNumberFormat="1" applyFont="1" applyFill="1" applyBorder="1" applyAlignment="1" applyProtection="1">
      <alignment horizontal="right"/>
      <protection locked="0"/>
    </xf>
    <xf numFmtId="167" fontId="6" fillId="13" borderId="1" xfId="0" applyNumberFormat="1" applyFont="1" applyFill="1" applyBorder="1" applyAlignment="1" applyProtection="1">
      <alignment horizontal="right"/>
      <protection locked="0"/>
    </xf>
    <xf numFmtId="168" fontId="6" fillId="13" borderId="1" xfId="0" applyNumberFormat="1" applyFont="1" applyFill="1" applyBorder="1" applyAlignment="1" applyProtection="1">
      <alignment horizontal="right"/>
      <protection locked="0"/>
    </xf>
    <xf numFmtId="14" fontId="6" fillId="13" borderId="1" xfId="0" applyNumberFormat="1" applyFont="1" applyFill="1" applyBorder="1" applyAlignment="1" applyProtection="1">
      <alignment horizontal="right"/>
      <protection locked="0"/>
    </xf>
    <xf numFmtId="0" fontId="6" fillId="13" borderId="1" xfId="0" applyFont="1" applyFill="1" applyBorder="1" applyAlignment="1" applyProtection="1">
      <alignment horizontal="right"/>
      <protection locked="0"/>
    </xf>
    <xf numFmtId="164" fontId="6" fillId="13" borderId="1" xfId="0" applyNumberFormat="1" applyFont="1" applyFill="1" applyBorder="1" applyAlignment="1" applyProtection="1">
      <alignment horizontal="right"/>
      <protection locked="0"/>
    </xf>
    <xf numFmtId="169" fontId="6" fillId="13" borderId="1" xfId="2" applyNumberFormat="1" applyFont="1" applyFill="1" applyBorder="1" applyAlignment="1" applyProtection="1">
      <alignment horizontal="right"/>
      <protection locked="0"/>
    </xf>
    <xf numFmtId="44" fontId="0" fillId="0" borderId="0" xfId="2" applyFont="1"/>
    <xf numFmtId="0" fontId="14" fillId="0" borderId="6" xfId="0" applyFont="1" applyBorder="1" applyAlignment="1" applyProtection="1">
      <alignment horizontal="center" wrapText="1"/>
    </xf>
    <xf numFmtId="171" fontId="14" fillId="0" borderId="23" xfId="1" applyNumberFormat="1" applyFont="1" applyBorder="1" applyAlignment="1" applyProtection="1">
      <alignment horizontal="center"/>
    </xf>
    <xf numFmtId="44" fontId="11" fillId="6" borderId="0" xfId="2" applyFont="1" applyFill="1" applyBorder="1" applyProtection="1"/>
    <xf numFmtId="0" fontId="0" fillId="0" borderId="0" xfId="0" applyFont="1"/>
    <xf numFmtId="0" fontId="17" fillId="0" borderId="0" xfId="0" applyFont="1" applyFill="1" applyBorder="1" applyAlignment="1" applyProtection="1">
      <alignment horizontal="left"/>
    </xf>
    <xf numFmtId="15" fontId="33" fillId="0" borderId="0" xfId="0" quotePrefix="1" applyNumberFormat="1" applyFont="1" applyFill="1" applyBorder="1" applyAlignment="1" applyProtection="1">
      <alignment horizontal="left"/>
    </xf>
    <xf numFmtId="14" fontId="11" fillId="0" borderId="2" xfId="0" applyNumberFormat="1" applyFont="1" applyFill="1" applyBorder="1" applyAlignment="1" applyProtection="1">
      <alignment horizontal="center"/>
    </xf>
    <xf numFmtId="14" fontId="11" fillId="0" borderId="11" xfId="0" applyNumberFormat="1" applyFont="1" applyFill="1" applyBorder="1" applyAlignment="1" applyProtection="1">
      <alignment horizontal="center"/>
    </xf>
    <xf numFmtId="14" fontId="11" fillId="0" borderId="12" xfId="0" applyNumberFormat="1" applyFont="1" applyFill="1" applyBorder="1" applyAlignment="1" applyProtection="1">
      <alignment horizontal="center"/>
    </xf>
    <xf numFmtId="0" fontId="2" fillId="11" borderId="24" xfId="0" applyFont="1" applyFill="1" applyBorder="1" applyAlignment="1"/>
    <xf numFmtId="0" fontId="2" fillId="11" borderId="13" xfId="0" applyFont="1" applyFill="1" applyBorder="1" applyAlignment="1"/>
    <xf numFmtId="0" fontId="2" fillId="12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12" borderId="19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90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28575</xdr:rowOff>
    </xdr:from>
    <xdr:to>
      <xdr:col>14</xdr:col>
      <xdr:colOff>3829050</xdr:colOff>
      <xdr:row>8</xdr:row>
      <xdr:rowOff>28575</xdr:rowOff>
    </xdr:to>
    <xdr:pic>
      <xdr:nvPicPr>
        <xdr:cNvPr id="2049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73700" y="28575"/>
          <a:ext cx="38766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24</xdr:row>
      <xdr:rowOff>190500</xdr:rowOff>
    </xdr:from>
    <xdr:to>
      <xdr:col>6</xdr:col>
      <xdr:colOff>2305050</xdr:colOff>
      <xdr:row>26</xdr:row>
      <xdr:rowOff>180975</xdr:rowOff>
    </xdr:to>
    <xdr:cxnSp macro="">
      <xdr:nvCxnSpPr>
        <xdr:cNvPr id="3" name="Connecteur droit avec flèche 2"/>
        <xdr:cNvCxnSpPr/>
      </xdr:nvCxnSpPr>
      <xdr:spPr>
        <a:xfrm flipH="1" flipV="1">
          <a:off x="7239000" y="5972175"/>
          <a:ext cx="3524250" cy="5715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1209676</xdr:colOff>
      <xdr:row>24</xdr:row>
      <xdr:rowOff>180975</xdr:rowOff>
    </xdr:from>
    <xdr:to>
      <xdr:col>4</xdr:col>
      <xdr:colOff>571500</xdr:colOff>
      <xdr:row>26</xdr:row>
      <xdr:rowOff>171450</xdr:rowOff>
    </xdr:to>
    <xdr:cxnSp macro="">
      <xdr:nvCxnSpPr>
        <xdr:cNvPr id="5" name="Connecteur droit avec flèche 4"/>
        <xdr:cNvCxnSpPr/>
      </xdr:nvCxnSpPr>
      <xdr:spPr>
        <a:xfrm flipH="1">
          <a:off x="5638801" y="5962650"/>
          <a:ext cx="809624" cy="57150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733425</xdr:colOff>
      <xdr:row>0</xdr:row>
      <xdr:rowOff>0</xdr:rowOff>
    </xdr:from>
    <xdr:to>
      <xdr:col>7</xdr:col>
      <xdr:colOff>38100</xdr:colOff>
      <xdr:row>5</xdr:row>
      <xdr:rowOff>76200</xdr:rowOff>
    </xdr:to>
    <xdr:pic>
      <xdr:nvPicPr>
        <xdr:cNvPr id="307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6275" y="0"/>
          <a:ext cx="3143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22</xdr:row>
      <xdr:rowOff>190500</xdr:rowOff>
    </xdr:from>
    <xdr:to>
      <xdr:col>6</xdr:col>
      <xdr:colOff>2305050</xdr:colOff>
      <xdr:row>24</xdr:row>
      <xdr:rowOff>180975</xdr:rowOff>
    </xdr:to>
    <xdr:cxnSp macro="">
      <xdr:nvCxnSpPr>
        <xdr:cNvPr id="2" name="Connecteur droit avec flèche 1"/>
        <xdr:cNvCxnSpPr/>
      </xdr:nvCxnSpPr>
      <xdr:spPr>
        <a:xfrm flipH="1" flipV="1">
          <a:off x="6734175" y="5791200"/>
          <a:ext cx="3552825" cy="5715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1209676</xdr:colOff>
      <xdr:row>22</xdr:row>
      <xdr:rowOff>180975</xdr:rowOff>
    </xdr:from>
    <xdr:to>
      <xdr:col>4</xdr:col>
      <xdr:colOff>571500</xdr:colOff>
      <xdr:row>24</xdr:row>
      <xdr:rowOff>171450</xdr:rowOff>
    </xdr:to>
    <xdr:cxnSp macro="">
      <xdr:nvCxnSpPr>
        <xdr:cNvPr id="3" name="Connecteur droit avec flèche 2"/>
        <xdr:cNvCxnSpPr/>
      </xdr:nvCxnSpPr>
      <xdr:spPr>
        <a:xfrm flipH="1">
          <a:off x="5372101" y="5781675"/>
          <a:ext cx="571499" cy="57150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247650</xdr:colOff>
      <xdr:row>0</xdr:row>
      <xdr:rowOff>9525</xdr:rowOff>
    </xdr:from>
    <xdr:to>
      <xdr:col>6</xdr:col>
      <xdr:colOff>3829050</xdr:colOff>
      <xdr:row>6</xdr:row>
      <xdr:rowOff>57150</xdr:rowOff>
    </xdr:to>
    <xdr:pic>
      <xdr:nvPicPr>
        <xdr:cNvPr id="409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9525"/>
          <a:ext cx="35814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" zoomScale="80" zoomScaleNormal="80" workbookViewId="0">
      <selection activeCell="I14" sqref="I14"/>
    </sheetView>
  </sheetViews>
  <sheetFormatPr baseColWidth="10" defaultRowHeight="15" x14ac:dyDescent="0.25"/>
  <cols>
    <col min="1" max="1" width="3.7109375" customWidth="1"/>
    <col min="3" max="3" width="64.28515625" customWidth="1"/>
    <col min="4" max="4" width="15.42578125" bestFit="1" customWidth="1"/>
    <col min="5" max="5" width="2.28515625" customWidth="1"/>
    <col min="6" max="6" width="15.28515625" customWidth="1"/>
    <col min="7" max="7" width="7.5703125" customWidth="1"/>
  </cols>
  <sheetData>
    <row r="1" spans="1:6" ht="15.75" x14ac:dyDescent="0.25">
      <c r="A1" s="34"/>
      <c r="B1" s="107" t="s">
        <v>153</v>
      </c>
      <c r="C1" s="35"/>
      <c r="D1" s="35"/>
      <c r="E1" s="35"/>
      <c r="F1" s="35"/>
    </row>
    <row r="2" spans="1:6" ht="6.75" customHeight="1" x14ac:dyDescent="0.25">
      <c r="A2" s="34"/>
      <c r="B2" s="107"/>
      <c r="C2" s="35"/>
      <c r="D2" s="35"/>
      <c r="E2" s="35"/>
      <c r="F2" s="35"/>
    </row>
    <row r="3" spans="1:6" s="227" customFormat="1" x14ac:dyDescent="0.25">
      <c r="A3" s="36"/>
      <c r="C3" s="228" t="s">
        <v>154</v>
      </c>
      <c r="D3" s="229"/>
      <c r="E3" s="109"/>
      <c r="F3" s="109"/>
    </row>
    <row r="4" spans="1:6" ht="9" customHeight="1" thickBot="1" x14ac:dyDescent="0.3">
      <c r="A4" s="36"/>
      <c r="B4" s="36"/>
      <c r="C4" s="37"/>
      <c r="D4" s="108"/>
      <c r="E4" s="109"/>
      <c r="F4" s="109"/>
    </row>
    <row r="5" spans="1:6" ht="26.25" x14ac:dyDescent="0.25">
      <c r="A5" s="38"/>
      <c r="B5" s="38"/>
      <c r="C5" s="39" t="s">
        <v>43</v>
      </c>
      <c r="D5" s="40">
        <v>2252</v>
      </c>
      <c r="E5" s="41"/>
      <c r="F5" s="224" t="s">
        <v>78</v>
      </c>
    </row>
    <row r="6" spans="1:6" x14ac:dyDescent="0.25">
      <c r="A6" s="43"/>
      <c r="B6" s="43"/>
      <c r="C6" s="44" t="s">
        <v>44</v>
      </c>
      <c r="D6" s="45">
        <v>2203</v>
      </c>
      <c r="E6" s="46"/>
      <c r="F6" s="225">
        <v>355</v>
      </c>
    </row>
    <row r="7" spans="1:6" ht="15.75" thickBot="1" x14ac:dyDescent="0.3">
      <c r="A7" s="47"/>
      <c r="B7" s="47"/>
      <c r="C7" s="48" t="s">
        <v>45</v>
      </c>
      <c r="D7" s="49">
        <f>(D5-D6)/D5</f>
        <v>2.1758436944937832E-2</v>
      </c>
      <c r="E7" s="50"/>
      <c r="F7" s="51"/>
    </row>
    <row r="8" spans="1:6" ht="9" customHeight="1" thickBot="1" x14ac:dyDescent="0.3">
      <c r="A8" s="43"/>
      <c r="B8" s="43"/>
      <c r="C8" s="52"/>
      <c r="D8" s="43"/>
      <c r="E8" s="46"/>
      <c r="F8" s="46"/>
    </row>
    <row r="9" spans="1:6" x14ac:dyDescent="0.25">
      <c r="A9" s="38"/>
      <c r="B9" s="38"/>
      <c r="C9" s="39" t="s">
        <v>46</v>
      </c>
      <c r="D9" s="40">
        <v>738</v>
      </c>
      <c r="E9" s="41"/>
      <c r="F9" s="42"/>
    </row>
    <row r="10" spans="1:6" ht="15.75" thickBot="1" x14ac:dyDescent="0.3">
      <c r="A10" s="53"/>
      <c r="B10" s="53"/>
      <c r="C10" s="124" t="s">
        <v>47</v>
      </c>
      <c r="D10" s="125">
        <f>D14*D6/D5/D9</f>
        <v>2.5744852452743001</v>
      </c>
      <c r="E10" s="54"/>
      <c r="F10" s="55"/>
    </row>
    <row r="11" spans="1:6" ht="8.25" customHeight="1" thickBot="1" x14ac:dyDescent="0.3">
      <c r="A11" s="43"/>
      <c r="B11" s="43"/>
      <c r="C11" s="126"/>
      <c r="D11" s="127"/>
      <c r="E11" s="46"/>
      <c r="F11" s="46"/>
    </row>
    <row r="12" spans="1:6" ht="15.75" thickBot="1" x14ac:dyDescent="0.3">
      <c r="A12" s="56"/>
      <c r="B12" s="56"/>
      <c r="C12" s="128" t="s">
        <v>48</v>
      </c>
      <c r="D12" s="129">
        <v>230</v>
      </c>
      <c r="E12" s="57"/>
      <c r="F12" s="58"/>
    </row>
    <row r="13" spans="1:6" ht="19.5" customHeight="1" x14ac:dyDescent="0.25">
      <c r="A13" s="43"/>
      <c r="B13" s="43"/>
      <c r="C13" s="59"/>
      <c r="D13" s="60" t="s">
        <v>26</v>
      </c>
      <c r="E13" s="61"/>
      <c r="F13" s="62" t="s">
        <v>49</v>
      </c>
    </row>
    <row r="14" spans="1:6" x14ac:dyDescent="0.25">
      <c r="A14" s="46"/>
      <c r="B14" s="63"/>
      <c r="C14" s="64" t="s">
        <v>50</v>
      </c>
      <c r="D14" s="65">
        <v>1942.23</v>
      </c>
      <c r="E14" s="46"/>
      <c r="F14" s="65">
        <v>547.16</v>
      </c>
    </row>
    <row r="15" spans="1:6" x14ac:dyDescent="0.25">
      <c r="A15" s="46"/>
      <c r="B15" s="46"/>
      <c r="C15" s="59" t="s">
        <v>51</v>
      </c>
      <c r="D15" s="223">
        <v>63.033616306518979</v>
      </c>
      <c r="E15" s="223"/>
      <c r="F15" s="223">
        <v>17.757560527059571</v>
      </c>
    </row>
    <row r="16" spans="1:6" x14ac:dyDescent="0.25">
      <c r="A16" s="46"/>
      <c r="B16" s="46"/>
      <c r="C16" s="64" t="s">
        <v>52</v>
      </c>
      <c r="D16" s="65">
        <v>332.92782821863085</v>
      </c>
      <c r="E16" s="46"/>
      <c r="F16" s="65">
        <v>93.791002438859081</v>
      </c>
    </row>
    <row r="17" spans="1:6" x14ac:dyDescent="0.25">
      <c r="A17" s="46"/>
      <c r="B17" s="63"/>
      <c r="C17" s="59" t="s">
        <v>140</v>
      </c>
      <c r="D17" s="223">
        <v>33.018703468313056</v>
      </c>
      <c r="E17" s="223"/>
      <c r="F17" s="223">
        <v>9.3018877817892562</v>
      </c>
    </row>
    <row r="18" spans="1:6" x14ac:dyDescent="0.25">
      <c r="A18" s="46"/>
      <c r="B18" s="46"/>
      <c r="C18" s="64" t="s">
        <v>53</v>
      </c>
      <c r="D18" s="65">
        <v>23.636993826039586</v>
      </c>
      <c r="E18" s="46"/>
      <c r="F18" s="65">
        <v>6.658912706238338</v>
      </c>
    </row>
    <row r="19" spans="1:6" x14ac:dyDescent="0.25">
      <c r="A19" s="46"/>
      <c r="B19" s="63"/>
      <c r="C19" s="59" t="s">
        <v>141</v>
      </c>
      <c r="D19" s="223">
        <v>95.257399673143269</v>
      </c>
      <c r="E19" s="223"/>
      <c r="F19" s="223">
        <v>26.835506821004117</v>
      </c>
    </row>
    <row r="20" spans="1:6" x14ac:dyDescent="0.25">
      <c r="A20" s="46"/>
      <c r="B20" s="63"/>
      <c r="C20" s="64" t="s">
        <v>142</v>
      </c>
      <c r="D20" s="65">
        <v>16.657976212093697</v>
      </c>
      <c r="E20" s="46"/>
      <c r="F20" s="65">
        <v>4.6928137425296361</v>
      </c>
    </row>
    <row r="21" spans="1:6" x14ac:dyDescent="0.25">
      <c r="A21" s="46"/>
      <c r="B21" s="46"/>
      <c r="C21" s="59" t="s">
        <v>54</v>
      </c>
      <c r="D21" s="223">
        <v>11.429212820047212</v>
      </c>
      <c r="E21" s="223"/>
      <c r="F21" s="223">
        <v>3.2197889050456379</v>
      </c>
    </row>
    <row r="22" spans="1:6" x14ac:dyDescent="0.25">
      <c r="A22" s="46"/>
      <c r="B22" s="63"/>
      <c r="C22" s="64" t="s">
        <v>55</v>
      </c>
      <c r="D22" s="65">
        <v>27.838373887779188</v>
      </c>
      <c r="E22" s="46"/>
      <c r="F22" s="65">
        <v>7.8425075103303019</v>
      </c>
    </row>
    <row r="23" spans="1:6" x14ac:dyDescent="0.25">
      <c r="A23" s="46"/>
      <c r="B23" s="46"/>
      <c r="C23" s="59" t="s">
        <v>56</v>
      </c>
      <c r="D23" s="223">
        <v>36.519938260395854</v>
      </c>
      <c r="E23" s="223"/>
      <c r="F23" s="223">
        <v>10.2882406579676</v>
      </c>
    </row>
    <row r="24" spans="1:6" x14ac:dyDescent="0.25">
      <c r="A24" s="46"/>
      <c r="B24" s="63"/>
      <c r="C24" s="64" t="s">
        <v>57</v>
      </c>
      <c r="D24" s="65">
        <v>18.206373706192117</v>
      </c>
      <c r="E24" s="46"/>
      <c r="F24" s="65">
        <v>5.1290216555850137</v>
      </c>
    </row>
    <row r="25" spans="1:6" x14ac:dyDescent="0.25">
      <c r="A25" s="46"/>
      <c r="B25" s="46"/>
      <c r="C25" s="59" t="s">
        <v>143</v>
      </c>
      <c r="D25" s="223">
        <v>51.945505719992731</v>
      </c>
      <c r="E25" s="223"/>
      <c r="F25" s="223">
        <v>14.633865482918395</v>
      </c>
    </row>
    <row r="26" spans="1:6" x14ac:dyDescent="0.25">
      <c r="A26" s="46"/>
      <c r="B26" s="63"/>
      <c r="C26" s="64" t="s">
        <v>58</v>
      </c>
      <c r="D26" s="65">
        <v>3.7021154893771562</v>
      </c>
      <c r="E26" s="46"/>
      <c r="F26" s="65">
        <v>1.0429441262119161</v>
      </c>
    </row>
    <row r="27" spans="1:6" x14ac:dyDescent="0.25">
      <c r="A27" s="46"/>
      <c r="B27" s="46"/>
      <c r="C27" s="59" t="s">
        <v>144</v>
      </c>
      <c r="D27" s="223">
        <v>29.502823678954055</v>
      </c>
      <c r="E27" s="223"/>
      <c r="F27" s="223">
        <v>8.3114091796762608</v>
      </c>
    </row>
    <row r="28" spans="1:6" ht="16.5" x14ac:dyDescent="0.25">
      <c r="A28" s="66" t="s">
        <v>59</v>
      </c>
      <c r="B28" s="67" t="s">
        <v>60</v>
      </c>
      <c r="C28" s="68"/>
      <c r="D28" s="69">
        <f>SUM(D14:D27)</f>
        <v>2685.9068612674782</v>
      </c>
      <c r="E28" s="70"/>
      <c r="F28" s="69">
        <f>SUM(F14:F27)</f>
        <v>756.66546153521494</v>
      </c>
    </row>
    <row r="29" spans="1:6" x14ac:dyDescent="0.25">
      <c r="A29" s="46"/>
      <c r="B29" s="46"/>
      <c r="C29" s="59"/>
      <c r="D29" s="71"/>
      <c r="E29" s="46"/>
      <c r="F29" s="71"/>
    </row>
    <row r="30" spans="1:6" x14ac:dyDescent="0.25">
      <c r="A30" s="46"/>
      <c r="B30" s="46"/>
      <c r="C30" s="64" t="s">
        <v>61</v>
      </c>
      <c r="D30" s="65">
        <v>12.262098238605411</v>
      </c>
      <c r="E30" s="46"/>
      <c r="F30" s="65">
        <v>3.4544258194221173</v>
      </c>
    </row>
    <row r="31" spans="1:6" x14ac:dyDescent="0.25">
      <c r="A31" s="46"/>
      <c r="B31" s="46"/>
      <c r="C31" s="59" t="s">
        <v>62</v>
      </c>
      <c r="D31" s="223">
        <v>11.396645178863263</v>
      </c>
      <c r="E31" s="223"/>
      <c r="F31" s="223">
        <v>3.2106140885995167</v>
      </c>
    </row>
    <row r="32" spans="1:6" x14ac:dyDescent="0.25">
      <c r="A32" s="46"/>
      <c r="B32" s="46"/>
      <c r="C32" s="64" t="s">
        <v>63</v>
      </c>
      <c r="D32" s="65">
        <v>2.9205647357908116</v>
      </c>
      <c r="E32" s="46"/>
      <c r="F32" s="65">
        <v>0.82276899387791391</v>
      </c>
    </row>
    <row r="33" spans="1:7" x14ac:dyDescent="0.25">
      <c r="A33" s="46"/>
      <c r="B33" s="46"/>
      <c r="C33" s="59" t="s">
        <v>64</v>
      </c>
      <c r="D33" s="223">
        <v>20.557517704739421</v>
      </c>
      <c r="E33" s="223"/>
      <c r="F33" s="223">
        <v>5.7913758771643753</v>
      </c>
    </row>
    <row r="34" spans="1:7" x14ac:dyDescent="0.25">
      <c r="A34" s="46"/>
      <c r="B34" s="46"/>
      <c r="C34" s="64" t="s">
        <v>65</v>
      </c>
      <c r="D34" s="65">
        <v>13.432431450880696</v>
      </c>
      <c r="E34" s="46"/>
      <c r="F34" s="65">
        <v>3.7841270815668553</v>
      </c>
    </row>
    <row r="35" spans="1:7" ht="16.5" x14ac:dyDescent="0.25">
      <c r="A35" s="66" t="s">
        <v>66</v>
      </c>
      <c r="B35" s="67" t="s">
        <v>67</v>
      </c>
      <c r="C35" s="68"/>
      <c r="D35" s="69">
        <f>SUM(D30:D34)</f>
        <v>60.5692573088796</v>
      </c>
      <c r="E35" s="70"/>
      <c r="F35" s="69">
        <f>SUM(F30:F34)</f>
        <v>17.06331186063078</v>
      </c>
    </row>
    <row r="36" spans="1:7" x14ac:dyDescent="0.25">
      <c r="A36" s="46"/>
      <c r="B36" s="46"/>
      <c r="C36" s="59"/>
      <c r="D36" s="71"/>
      <c r="E36" s="46"/>
      <c r="F36" s="71"/>
    </row>
    <row r="37" spans="1:7" ht="16.5" x14ac:dyDescent="0.25">
      <c r="A37" s="66" t="s">
        <v>68</v>
      </c>
      <c r="B37" s="67" t="s">
        <v>69</v>
      </c>
      <c r="C37" s="68"/>
      <c r="D37" s="69">
        <v>47.999073905937891</v>
      </c>
      <c r="E37" s="70"/>
      <c r="F37" s="69">
        <v>13.522093607682599</v>
      </c>
    </row>
    <row r="38" spans="1:7" x14ac:dyDescent="0.25">
      <c r="A38" s="62"/>
      <c r="B38" s="46"/>
      <c r="C38" s="59"/>
      <c r="D38" s="71"/>
      <c r="E38" s="46"/>
      <c r="F38" s="71"/>
    </row>
    <row r="39" spans="1:7" s="110" customFormat="1" ht="12" customHeight="1" x14ac:dyDescent="0.25">
      <c r="A39" s="66" t="s">
        <v>70</v>
      </c>
      <c r="B39" s="67" t="s">
        <v>71</v>
      </c>
      <c r="C39" s="68"/>
      <c r="D39" s="69">
        <v>43.004880152533133</v>
      </c>
      <c r="E39" s="70"/>
      <c r="F39" s="69">
        <v>12.115150724559836</v>
      </c>
      <c r="G39" s="130"/>
    </row>
    <row r="40" spans="1:7" x14ac:dyDescent="0.25">
      <c r="A40" s="66"/>
      <c r="B40" s="110"/>
      <c r="C40" s="110"/>
      <c r="D40" s="110"/>
      <c r="E40" s="70"/>
      <c r="F40" s="80"/>
      <c r="G40" s="122"/>
    </row>
    <row r="41" spans="1:7" ht="16.5" x14ac:dyDescent="0.25">
      <c r="A41" s="110"/>
      <c r="B41" s="67" t="s">
        <v>145</v>
      </c>
      <c r="C41" s="68"/>
      <c r="D41" s="69">
        <f>D28+D35+D37+D39</f>
        <v>2837.480072634829</v>
      </c>
      <c r="E41" s="70"/>
      <c r="F41" s="69">
        <f>F28+F35+F37+F39</f>
        <v>799.36601772808808</v>
      </c>
    </row>
    <row r="42" spans="1:7" x14ac:dyDescent="0.25">
      <c r="A42" s="46"/>
      <c r="B42" s="46"/>
      <c r="C42" s="59"/>
      <c r="D42" s="71"/>
      <c r="E42" s="46"/>
      <c r="F42" s="71"/>
    </row>
    <row r="43" spans="1:7" ht="15.75" x14ac:dyDescent="0.25">
      <c r="A43" s="46"/>
      <c r="B43" s="123" t="s">
        <v>152</v>
      </c>
      <c r="C43" s="59"/>
      <c r="D43" s="71"/>
      <c r="E43" s="46"/>
      <c r="F43" s="71"/>
    </row>
    <row r="44" spans="1:7" x14ac:dyDescent="0.25">
      <c r="A44" s="46"/>
      <c r="B44" s="46"/>
      <c r="C44" s="72" t="s">
        <v>146</v>
      </c>
      <c r="D44" s="226">
        <v>23.669570546577084</v>
      </c>
      <c r="E44" s="72"/>
      <c r="F44" s="226">
        <v>6.668090080481071</v>
      </c>
    </row>
    <row r="45" spans="1:7" x14ac:dyDescent="0.25">
      <c r="A45" s="46"/>
      <c r="B45" s="46"/>
      <c r="C45" s="59" t="s">
        <v>147</v>
      </c>
      <c r="D45" s="223">
        <v>19.429135645542036</v>
      </c>
      <c r="E45" s="223"/>
      <c r="F45" s="223">
        <v>5.4734929142639368</v>
      </c>
    </row>
    <row r="46" spans="1:7" x14ac:dyDescent="0.25">
      <c r="A46" s="46"/>
      <c r="B46" s="46"/>
      <c r="C46" s="72" t="s">
        <v>72</v>
      </c>
      <c r="D46" s="226">
        <v>46.521359179226437</v>
      </c>
      <c r="E46" s="72"/>
      <c r="F46" s="226">
        <v>13.105798141249201</v>
      </c>
    </row>
    <row r="47" spans="1:7" x14ac:dyDescent="0.25">
      <c r="A47" s="46"/>
      <c r="B47" s="46"/>
      <c r="C47" s="59" t="s">
        <v>73</v>
      </c>
      <c r="D47" s="223">
        <v>12.492772834574177</v>
      </c>
      <c r="E47" s="223"/>
      <c r="F47" s="223">
        <v>3.5194104790369387</v>
      </c>
    </row>
    <row r="48" spans="1:7" ht="16.5" x14ac:dyDescent="0.25">
      <c r="A48" s="66" t="s">
        <v>74</v>
      </c>
      <c r="B48" s="73" t="s">
        <v>75</v>
      </c>
      <c r="C48" s="74"/>
      <c r="D48" s="75">
        <f>SUM(D44:D47)</f>
        <v>102.11283820591974</v>
      </c>
      <c r="E48" s="70"/>
      <c r="F48" s="75">
        <f>SUM(F44:F47)</f>
        <v>28.766791615031149</v>
      </c>
    </row>
    <row r="49" spans="1:10" x14ac:dyDescent="0.25">
      <c r="A49" s="62"/>
      <c r="B49" s="46"/>
      <c r="C49" s="59"/>
      <c r="D49" s="71"/>
      <c r="E49" s="46"/>
      <c r="F49" s="71"/>
    </row>
    <row r="50" spans="1:10" ht="16.5" x14ac:dyDescent="0.25">
      <c r="A50" s="66" t="s">
        <v>76</v>
      </c>
      <c r="B50" s="76" t="s">
        <v>148</v>
      </c>
      <c r="C50" s="77"/>
      <c r="D50" s="78">
        <v>9.48</v>
      </c>
      <c r="E50" s="70"/>
      <c r="F50" s="78">
        <v>2.67</v>
      </c>
    </row>
    <row r="51" spans="1:10" x14ac:dyDescent="0.25">
      <c r="A51" s="62"/>
      <c r="B51" s="46"/>
      <c r="C51" s="59"/>
      <c r="D51" s="63"/>
      <c r="E51" s="46"/>
      <c r="F51" s="46"/>
      <c r="I51" s="46"/>
      <c r="J51" s="71"/>
    </row>
    <row r="52" spans="1:10" ht="16.5" x14ac:dyDescent="0.25">
      <c r="A52" s="66" t="s">
        <v>79</v>
      </c>
      <c r="B52" s="67" t="s">
        <v>155</v>
      </c>
      <c r="C52" s="68"/>
      <c r="D52" s="69">
        <f>D41-D48-D50</f>
        <v>2725.8872344289093</v>
      </c>
      <c r="E52" s="70"/>
      <c r="F52" s="69">
        <f>F41-F48-F50</f>
        <v>767.92922611305698</v>
      </c>
    </row>
    <row r="53" spans="1:10" ht="16.5" x14ac:dyDescent="0.25">
      <c r="A53" s="66"/>
      <c r="B53" s="82" t="s">
        <v>80</v>
      </c>
      <c r="C53" s="79"/>
      <c r="D53" s="80"/>
      <c r="E53" s="81"/>
      <c r="F53" s="83"/>
    </row>
    <row r="54" spans="1:10" x14ac:dyDescent="0.25">
      <c r="A54" s="62"/>
      <c r="B54" s="46"/>
      <c r="C54" s="59"/>
      <c r="D54" s="63"/>
      <c r="E54" s="46"/>
      <c r="F54" s="84"/>
    </row>
    <row r="55" spans="1:10" ht="16.5" x14ac:dyDescent="0.25">
      <c r="A55" s="66" t="s">
        <v>81</v>
      </c>
      <c r="B55" s="85" t="s">
        <v>82</v>
      </c>
      <c r="C55" s="86"/>
      <c r="D55" s="87">
        <v>2715.3987606682399</v>
      </c>
      <c r="E55" s="70"/>
      <c r="F55" s="88">
        <v>764.97051372066051</v>
      </c>
    </row>
    <row r="56" spans="1:10" ht="15.75" thickBot="1" x14ac:dyDescent="0.3">
      <c r="A56" s="43"/>
      <c r="B56" s="43"/>
      <c r="C56" s="59"/>
      <c r="D56" s="43"/>
      <c r="E56" s="43"/>
      <c r="F56" s="89"/>
    </row>
    <row r="57" spans="1:10" x14ac:dyDescent="0.25">
      <c r="A57" s="38"/>
      <c r="B57" s="38"/>
      <c r="C57" s="90" t="s">
        <v>83</v>
      </c>
      <c r="D57" s="91">
        <v>879.48</v>
      </c>
      <c r="E57" s="92"/>
      <c r="F57" s="93"/>
    </row>
    <row r="58" spans="1:10" ht="16.5" thickBot="1" x14ac:dyDescent="0.3">
      <c r="A58" s="53"/>
      <c r="B58" s="53"/>
      <c r="C58" s="131" t="s">
        <v>84</v>
      </c>
      <c r="D58" s="132">
        <f>D55/D57</f>
        <v>3.0875048445311317</v>
      </c>
      <c r="E58" s="53"/>
      <c r="F58" s="94"/>
    </row>
    <row r="59" spans="1:10" x14ac:dyDescent="0.25">
      <c r="A59" s="71"/>
      <c r="B59" s="71"/>
      <c r="C59" s="95"/>
      <c r="D59" s="63"/>
      <c r="E59" s="71"/>
      <c r="F59" s="84"/>
    </row>
    <row r="60" spans="1:10" ht="16.5" x14ac:dyDescent="0.25">
      <c r="A60" s="66" t="s">
        <v>85</v>
      </c>
      <c r="B60" s="96" t="s">
        <v>86</v>
      </c>
      <c r="C60" s="97"/>
      <c r="D60" s="98">
        <f>D52-D55</f>
        <v>10.488473760669422</v>
      </c>
      <c r="E60" s="70"/>
      <c r="F60" s="99">
        <f>F52-F55</f>
        <v>2.9587123923964782</v>
      </c>
    </row>
    <row r="61" spans="1:10" ht="16.5" x14ac:dyDescent="0.25">
      <c r="A61" s="66"/>
      <c r="B61" s="82" t="s">
        <v>87</v>
      </c>
      <c r="C61" s="79"/>
      <c r="D61" s="80"/>
      <c r="E61" s="81"/>
      <c r="F61" s="83"/>
    </row>
    <row r="62" spans="1:10" ht="16.5" x14ac:dyDescent="0.25">
      <c r="A62" s="66" t="s">
        <v>88</v>
      </c>
      <c r="B62" s="70"/>
      <c r="C62" s="100" t="s">
        <v>149</v>
      </c>
      <c r="D62" s="101">
        <f>F62*F6/100</f>
        <v>47.676499999999997</v>
      </c>
      <c r="E62" s="102"/>
      <c r="F62" s="101">
        <f>0.1343*100</f>
        <v>13.43</v>
      </c>
    </row>
    <row r="63" spans="1:10" x14ac:dyDescent="0.25">
      <c r="A63" s="66"/>
      <c r="B63" s="56"/>
      <c r="C63" s="103"/>
      <c r="D63" s="94"/>
      <c r="E63" s="104"/>
      <c r="F63" s="94"/>
    </row>
    <row r="64" spans="1:10" ht="16.5" x14ac:dyDescent="0.25">
      <c r="A64" s="66" t="s">
        <v>89</v>
      </c>
      <c r="B64" s="70"/>
      <c r="C64" s="97" t="s">
        <v>150</v>
      </c>
      <c r="D64" s="98">
        <f>D60-D62</f>
        <v>-37.188026239330576</v>
      </c>
      <c r="E64" s="102"/>
      <c r="F64" s="99">
        <f>F60-F62</f>
        <v>-10.471287607603522</v>
      </c>
    </row>
    <row r="65" spans="1:6" x14ac:dyDescent="0.25">
      <c r="A65" s="43"/>
      <c r="B65" s="43"/>
      <c r="C65" s="82" t="s">
        <v>90</v>
      </c>
      <c r="D65" s="105"/>
      <c r="E65" s="105"/>
      <c r="F65" s="89"/>
    </row>
    <row r="66" spans="1:6" ht="16.5" x14ac:dyDescent="0.25">
      <c r="A66" s="66" t="s">
        <v>91</v>
      </c>
      <c r="B66" s="70"/>
      <c r="C66" s="77" t="s">
        <v>77</v>
      </c>
      <c r="D66" s="106">
        <f>D50*2/3</f>
        <v>6.32</v>
      </c>
      <c r="E66" s="102"/>
      <c r="F66" s="106">
        <f>F50*2/3</f>
        <v>1.78</v>
      </c>
    </row>
    <row r="67" spans="1:6" x14ac:dyDescent="0.25">
      <c r="A67" s="66"/>
      <c r="B67" s="43"/>
      <c r="C67" s="59"/>
      <c r="D67" s="105"/>
      <c r="E67" s="105"/>
      <c r="F67" s="89"/>
    </row>
    <row r="68" spans="1:6" ht="16.5" x14ac:dyDescent="0.25">
      <c r="A68" s="66" t="s">
        <v>92</v>
      </c>
      <c r="B68" s="96" t="s">
        <v>151</v>
      </c>
      <c r="C68" s="97"/>
      <c r="D68" s="98">
        <f>D64+D66</f>
        <v>-30.868026239330575</v>
      </c>
      <c r="E68" s="70"/>
      <c r="F68" s="99">
        <f>F64+F66</f>
        <v>-8.6912876076035221</v>
      </c>
    </row>
    <row r="69" spans="1:6" ht="15.75" thickBot="1" x14ac:dyDescent="0.3">
      <c r="A69" s="43"/>
      <c r="B69" s="43"/>
      <c r="C69" s="82" t="s">
        <v>93</v>
      </c>
      <c r="D69" s="105"/>
      <c r="E69" s="105"/>
      <c r="F69" s="105"/>
    </row>
    <row r="70" spans="1:6" ht="15.75" thickBot="1" x14ac:dyDescent="0.3">
      <c r="A70" s="36"/>
      <c r="B70" s="36"/>
      <c r="C70" s="37"/>
      <c r="D70" s="230">
        <v>42751</v>
      </c>
      <c r="E70" s="231"/>
      <c r="F70" s="232"/>
    </row>
  </sheetData>
  <sheetProtection password="CC0A" sheet="1" objects="1" scenarios="1"/>
  <mergeCells count="1">
    <mergeCell ref="D70:F70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H1" zoomScale="90" zoomScaleNormal="90" workbookViewId="0">
      <selection activeCell="O14" sqref="O14"/>
    </sheetView>
  </sheetViews>
  <sheetFormatPr baseColWidth="10" defaultRowHeight="15" x14ac:dyDescent="0.25"/>
  <cols>
    <col min="1" max="1" width="41.7109375" customWidth="1"/>
    <col min="2" max="2" width="11" bestFit="1" customWidth="1"/>
    <col min="3" max="3" width="1.140625" customWidth="1"/>
    <col min="4" max="4" width="13" bestFit="1" customWidth="1"/>
    <col min="5" max="5" width="30.42578125" bestFit="1" customWidth="1"/>
    <col min="6" max="6" width="9.85546875" bestFit="1" customWidth="1"/>
    <col min="7" max="7" width="61.5703125" customWidth="1"/>
    <col min="8" max="8" width="2.7109375" style="180" bestFit="1" customWidth="1"/>
    <col min="9" max="9" width="35.85546875" customWidth="1"/>
    <col min="10" max="10" width="11" bestFit="1" customWidth="1"/>
    <col min="11" max="11" width="1.7109375" customWidth="1"/>
    <col min="12" max="12" width="11" bestFit="1" customWidth="1"/>
    <col min="13" max="13" width="30.42578125" bestFit="1" customWidth="1"/>
    <col min="14" max="14" width="11.85546875" customWidth="1"/>
    <col min="15" max="15" width="57.5703125" style="180" bestFit="1" customWidth="1"/>
    <col min="16" max="16" width="6" customWidth="1"/>
  </cols>
  <sheetData>
    <row r="1" spans="1:16" ht="26.25" x14ac:dyDescent="0.4">
      <c r="A1" s="1" t="s">
        <v>110</v>
      </c>
      <c r="G1" s="5" t="s">
        <v>139</v>
      </c>
    </row>
    <row r="2" spans="1:16" ht="14.25" customHeight="1" x14ac:dyDescent="0.25">
      <c r="A2" s="181" t="s">
        <v>112</v>
      </c>
    </row>
    <row r="3" spans="1:16" ht="7.5" customHeight="1" x14ac:dyDescent="0.25">
      <c r="A3" s="181"/>
    </row>
    <row r="4" spans="1:16" ht="14.25" customHeight="1" x14ac:dyDescent="0.3">
      <c r="A4" s="19" t="s">
        <v>100</v>
      </c>
    </row>
    <row r="5" spans="1:16" ht="18.75" x14ac:dyDescent="0.3">
      <c r="A5" s="215" t="s">
        <v>136</v>
      </c>
      <c r="B5" s="19" t="s">
        <v>97</v>
      </c>
    </row>
    <row r="6" spans="1:16" ht="18.75" x14ac:dyDescent="0.3">
      <c r="A6" s="134" t="s">
        <v>115</v>
      </c>
      <c r="B6" s="19" t="s">
        <v>98</v>
      </c>
    </row>
    <row r="7" spans="1:16" ht="18.75" x14ac:dyDescent="0.3">
      <c r="A7" s="117" t="s">
        <v>96</v>
      </c>
      <c r="B7" s="19" t="s">
        <v>99</v>
      </c>
    </row>
    <row r="8" spans="1:16" ht="6.75" customHeight="1" x14ac:dyDescent="0.25">
      <c r="A8" s="181"/>
    </row>
    <row r="9" spans="1:16" ht="18.75" x14ac:dyDescent="0.3">
      <c r="B9" s="140"/>
      <c r="F9" s="3"/>
      <c r="G9" s="5"/>
      <c r="H9"/>
      <c r="J9" s="140"/>
      <c r="L9" s="182" t="s">
        <v>135</v>
      </c>
      <c r="N9" s="3"/>
      <c r="O9" s="5"/>
    </row>
    <row r="10" spans="1:16" ht="15" customHeight="1" x14ac:dyDescent="0.3">
      <c r="H10"/>
      <c r="I10" s="4" t="s">
        <v>28</v>
      </c>
      <c r="J10" s="197" t="s">
        <v>0</v>
      </c>
      <c r="K10" s="135"/>
      <c r="L10" s="204" t="s">
        <v>109</v>
      </c>
      <c r="M10" s="199" t="s">
        <v>2</v>
      </c>
      <c r="N10" s="199" t="s">
        <v>103</v>
      </c>
      <c r="O10" s="202" t="s">
        <v>3</v>
      </c>
      <c r="P10" s="180"/>
    </row>
    <row r="11" spans="1:16" x14ac:dyDescent="0.25">
      <c r="A11" s="208"/>
      <c r="H11"/>
      <c r="I11" s="205"/>
      <c r="J11" s="198"/>
      <c r="K11" s="136"/>
      <c r="L11" s="200"/>
      <c r="M11" s="200"/>
      <c r="N11" s="201"/>
      <c r="O11" s="203"/>
      <c r="P11" s="180"/>
    </row>
    <row r="12" spans="1:16" ht="15.75" x14ac:dyDescent="0.25">
      <c r="B12" s="183"/>
      <c r="C12" s="184"/>
      <c r="D12" s="185"/>
      <c r="E12" s="186"/>
      <c r="F12" s="187"/>
      <c r="G12" s="188"/>
      <c r="H12"/>
      <c r="I12" s="111" t="s">
        <v>111</v>
      </c>
      <c r="J12" s="145">
        <v>1.5</v>
      </c>
      <c r="K12" s="20"/>
      <c r="L12" s="216">
        <v>1.0900000000000001</v>
      </c>
      <c r="M12" s="113" t="s">
        <v>30</v>
      </c>
      <c r="N12" s="179" t="str">
        <f>IF(L12="","",IF(L12&lt;=3,IF(L12&gt;=0.5,"Correct","Incorrect"),"Incorrect"))</f>
        <v>Correct</v>
      </c>
      <c r="O12" s="112"/>
      <c r="P12" s="180">
        <f>IF(L12&lt;&gt;"",1,0)</f>
        <v>1</v>
      </c>
    </row>
    <row r="13" spans="1:16" ht="9" customHeight="1" x14ac:dyDescent="0.25">
      <c r="B13" s="189"/>
      <c r="C13" s="190"/>
      <c r="D13" s="191"/>
      <c r="E13" s="190"/>
      <c r="F13" s="28"/>
      <c r="G13" s="28"/>
      <c r="H13"/>
      <c r="J13" s="140"/>
      <c r="L13" s="2"/>
      <c r="N13" s="3"/>
      <c r="O13" s="3"/>
    </row>
    <row r="14" spans="1:16" ht="15.75" x14ac:dyDescent="0.25">
      <c r="A14" s="206"/>
      <c r="B14" s="192"/>
      <c r="C14" s="193"/>
      <c r="D14" s="194"/>
      <c r="E14" s="186"/>
      <c r="F14" s="187"/>
      <c r="G14" s="188"/>
      <c r="H14"/>
      <c r="I14" s="111" t="s">
        <v>31</v>
      </c>
      <c r="J14" s="146">
        <v>0.02</v>
      </c>
      <c r="K14" s="7"/>
      <c r="L14" s="216">
        <v>0.02</v>
      </c>
      <c r="M14" s="113" t="s">
        <v>30</v>
      </c>
      <c r="N14" s="179" t="str">
        <f>IF(L14="","",IF(L14&lt;=10,IF(L14&gt;=-10.8,"Correct","Incorrect"),"Incorrect"))</f>
        <v>Correct</v>
      </c>
      <c r="O14" s="112" t="s">
        <v>32</v>
      </c>
      <c r="P14" s="180">
        <f>IF(L14&lt;&gt;"",1,0)</f>
        <v>1</v>
      </c>
    </row>
    <row r="15" spans="1:16" ht="6" customHeight="1" x14ac:dyDescent="0.25">
      <c r="A15" s="206"/>
      <c r="B15" s="189"/>
      <c r="C15" s="190"/>
      <c r="D15" s="191"/>
      <c r="E15" s="190"/>
      <c r="F15" s="28"/>
      <c r="G15" s="28"/>
      <c r="H15"/>
      <c r="J15" s="140"/>
      <c r="L15" s="2"/>
      <c r="N15" s="3"/>
      <c r="O15" s="3"/>
    </row>
    <row r="16" spans="1:16" x14ac:dyDescent="0.25">
      <c r="A16" s="207"/>
      <c r="B16" s="192"/>
      <c r="C16" s="195"/>
      <c r="D16" s="192"/>
      <c r="E16" s="186"/>
      <c r="F16" s="178"/>
      <c r="G16" s="28"/>
      <c r="H16"/>
      <c r="I16" s="164" t="s">
        <v>33</v>
      </c>
      <c r="J16" s="147">
        <f>J14+J12</f>
        <v>1.52</v>
      </c>
      <c r="K16" s="22"/>
      <c r="L16" s="147">
        <f>L14+L12</f>
        <v>1.1100000000000001</v>
      </c>
      <c r="M16" s="113" t="s">
        <v>30</v>
      </c>
      <c r="N16" s="157"/>
      <c r="O16" s="115"/>
    </row>
    <row r="17" spans="1:16" ht="18.75" x14ac:dyDescent="0.3">
      <c r="A17" s="206"/>
      <c r="D17" s="182" t="s">
        <v>113</v>
      </c>
      <c r="H17"/>
      <c r="J17" s="140"/>
      <c r="L17" s="2"/>
      <c r="N17" s="3"/>
      <c r="O17" s="3"/>
    </row>
    <row r="18" spans="1:16" ht="28.5" customHeight="1" x14ac:dyDescent="0.3">
      <c r="A18" s="4" t="s">
        <v>28</v>
      </c>
      <c r="B18" s="197" t="s">
        <v>0</v>
      </c>
      <c r="C18" s="135"/>
      <c r="D18" s="204" t="s">
        <v>109</v>
      </c>
      <c r="E18" s="199" t="s">
        <v>2</v>
      </c>
      <c r="F18" s="199" t="s">
        <v>103</v>
      </c>
      <c r="G18" s="202" t="s">
        <v>3</v>
      </c>
      <c r="H18"/>
      <c r="I18" s="165" t="s">
        <v>118</v>
      </c>
      <c r="J18" s="148">
        <v>0.63500000000000001</v>
      </c>
      <c r="K18" s="7"/>
      <c r="L18" s="148">
        <v>0.63500000000000001</v>
      </c>
      <c r="M18" s="114"/>
      <c r="N18" s="158"/>
      <c r="O18" s="111" t="s">
        <v>34</v>
      </c>
    </row>
    <row r="19" spans="1:16" ht="6.75" customHeight="1" x14ac:dyDescent="0.25">
      <c r="B19" s="140"/>
      <c r="D19" s="2"/>
      <c r="F19" s="3"/>
      <c r="G19" s="3"/>
      <c r="H19"/>
      <c r="J19" s="140"/>
      <c r="L19" s="2"/>
      <c r="N19" s="3"/>
      <c r="O19" s="3"/>
    </row>
    <row r="20" spans="1:16" ht="21.75" customHeight="1" x14ac:dyDescent="0.25">
      <c r="A20" s="111" t="s">
        <v>111</v>
      </c>
      <c r="B20" s="147">
        <v>2.4</v>
      </c>
      <c r="C20" s="22"/>
      <c r="D20" s="216">
        <v>1.18</v>
      </c>
      <c r="E20" s="113" t="s">
        <v>117</v>
      </c>
      <c r="F20" s="179" t="str">
        <f>IF(D20="","",IF(D20&lt;=4,IF(D20&gt;=0.5,"Correct","Incorrect"),"Incorrect"))</f>
        <v>Correct</v>
      </c>
      <c r="G20" s="115"/>
      <c r="H20" s="180">
        <f>IF(D20&lt;&gt;"",1,0)</f>
        <v>1</v>
      </c>
      <c r="I20" s="164" t="s">
        <v>35</v>
      </c>
      <c r="J20" s="147">
        <f>J16/J18</f>
        <v>2.393700787401575</v>
      </c>
      <c r="K20" s="22"/>
      <c r="L20" s="147">
        <f>L16/L18</f>
        <v>1.7480314960629924</v>
      </c>
      <c r="M20" s="113" t="s">
        <v>117</v>
      </c>
      <c r="N20" s="157"/>
      <c r="O20" s="115"/>
    </row>
    <row r="21" spans="1:16" ht="7.5" customHeight="1" x14ac:dyDescent="0.25">
      <c r="B21" s="140"/>
      <c r="D21" s="2"/>
      <c r="F21" s="3"/>
      <c r="G21" s="3"/>
      <c r="H21"/>
      <c r="J21" s="140"/>
      <c r="L21" s="2"/>
      <c r="N21" s="3"/>
      <c r="O21" s="3"/>
    </row>
    <row r="22" spans="1:16" ht="30" x14ac:dyDescent="0.25">
      <c r="A22" s="111" t="s">
        <v>120</v>
      </c>
      <c r="B22" s="149">
        <v>1.1000000000000001</v>
      </c>
      <c r="C22" s="22"/>
      <c r="D22" s="217">
        <v>1.25</v>
      </c>
      <c r="E22" s="111" t="s">
        <v>134</v>
      </c>
      <c r="F22" s="179" t="str">
        <f>IF(D22="","",IF(D22&lt;=1.5,IF(D22&gt;=0.5,"Correct","Incorrect"),"Incorrect"))</f>
        <v>Correct</v>
      </c>
      <c r="G22" s="118" t="s">
        <v>36</v>
      </c>
      <c r="H22" s="180">
        <f>IF(D22&lt;&gt;"",1,0)</f>
        <v>1</v>
      </c>
      <c r="I22" s="111" t="s">
        <v>120</v>
      </c>
      <c r="J22" s="149">
        <v>1.1000000000000001</v>
      </c>
      <c r="K22" s="22"/>
      <c r="L22" s="217">
        <v>1.25</v>
      </c>
      <c r="M22" s="111" t="s">
        <v>134</v>
      </c>
      <c r="N22" s="179" t="str">
        <f>IF(L22="","",IF(L22&lt;=1.5,IF(L22&gt;=0.5,"Correct","Incorrect"),"Incorrect"))</f>
        <v>Correct</v>
      </c>
      <c r="O22" s="118" t="s">
        <v>36</v>
      </c>
      <c r="P22" s="180">
        <f>IF(L22&lt;&gt;"",1,0)</f>
        <v>1</v>
      </c>
    </row>
    <row r="23" spans="1:16" ht="8.25" customHeight="1" x14ac:dyDescent="0.25">
      <c r="B23" s="140"/>
      <c r="D23" s="2"/>
      <c r="F23" s="3"/>
      <c r="G23" s="3"/>
      <c r="H23"/>
      <c r="J23" s="140"/>
      <c r="L23" s="2"/>
      <c r="N23" s="3"/>
      <c r="O23" s="3"/>
    </row>
    <row r="24" spans="1:16" x14ac:dyDescent="0.25">
      <c r="A24" s="164" t="s">
        <v>37</v>
      </c>
      <c r="B24" s="147">
        <f>B20*B22</f>
        <v>2.64</v>
      </c>
      <c r="C24" s="22"/>
      <c r="D24" s="21">
        <f>D20*D22</f>
        <v>1.4749999999999999</v>
      </c>
      <c r="E24" s="113" t="s">
        <v>121</v>
      </c>
      <c r="F24" s="157"/>
      <c r="G24" s="115"/>
      <c r="H24"/>
      <c r="I24" s="164" t="s">
        <v>37</v>
      </c>
      <c r="J24" s="147">
        <f>J20*J22</f>
        <v>2.6330708661417326</v>
      </c>
      <c r="K24" s="22"/>
      <c r="L24" s="21">
        <f>L20*L22</f>
        <v>2.1850393700787403</v>
      </c>
      <c r="M24" s="113" t="s">
        <v>121</v>
      </c>
      <c r="N24" s="157"/>
      <c r="O24" s="115"/>
    </row>
    <row r="25" spans="1:16" ht="8.25" customHeight="1" x14ac:dyDescent="0.25">
      <c r="B25" s="140"/>
      <c r="D25" s="2"/>
      <c r="F25" s="3"/>
      <c r="G25" s="3"/>
      <c r="H25"/>
      <c r="J25" s="140"/>
      <c r="L25" s="2"/>
      <c r="N25" s="3"/>
      <c r="O25" s="3"/>
    </row>
    <row r="26" spans="1:16" ht="30" x14ac:dyDescent="0.25">
      <c r="A26" s="165" t="s">
        <v>116</v>
      </c>
      <c r="B26" s="138">
        <v>0.60499999999999998</v>
      </c>
      <c r="C26" s="23"/>
      <c r="D26" s="218">
        <v>0.60499999999999998</v>
      </c>
      <c r="E26" s="113" t="s">
        <v>9</v>
      </c>
      <c r="F26" s="179" t="str">
        <f>IF(D26="","",IF(D26&lt;=0.7,IF(D26&gt;=0.5,"Correct","Incorrect"),"Incorrect"))</f>
        <v>Correct</v>
      </c>
      <c r="G26" s="111" t="s">
        <v>119</v>
      </c>
      <c r="H26" s="180">
        <f>IF(D26&lt;&gt;"",1,0)</f>
        <v>1</v>
      </c>
      <c r="I26" s="165" t="s">
        <v>116</v>
      </c>
      <c r="J26" s="138">
        <v>0.60499999999999998</v>
      </c>
      <c r="K26" s="23"/>
      <c r="L26" s="218">
        <v>0.60499999999999998</v>
      </c>
      <c r="M26" s="113" t="s">
        <v>9</v>
      </c>
      <c r="N26" s="179" t="str">
        <f>IF(L26="","",IF(L26&lt;=0.7,IF(L26&gt;=0.5,"Correct","Incorrect"),"Incorrect"))</f>
        <v>Correct</v>
      </c>
      <c r="O26" s="111" t="s">
        <v>119</v>
      </c>
      <c r="P26" s="180">
        <f>IF(L26&lt;&gt;"",1,0)</f>
        <v>1</v>
      </c>
    </row>
    <row r="27" spans="1:16" ht="30" x14ac:dyDescent="0.25">
      <c r="A27" s="165" t="s">
        <v>122</v>
      </c>
      <c r="B27" s="138">
        <v>0.57499999999999996</v>
      </c>
      <c r="C27" s="23"/>
      <c r="D27" s="218">
        <v>0.57499999999999996</v>
      </c>
      <c r="E27" s="113" t="s">
        <v>9</v>
      </c>
      <c r="F27" s="179" t="str">
        <f>IF(D27="","",IF(D27&lt;=0.7,IF(D27&gt;=0.5,"Correct","Incorrect"),"Incorrect"))</f>
        <v>Correct</v>
      </c>
      <c r="G27" s="111" t="s">
        <v>119</v>
      </c>
      <c r="H27" s="180">
        <f>IF(D27&lt;&gt;"",1,0)</f>
        <v>1</v>
      </c>
      <c r="I27" s="165" t="s">
        <v>122</v>
      </c>
      <c r="J27" s="138">
        <v>0.57499999999999996</v>
      </c>
      <c r="K27" s="23"/>
      <c r="L27" s="218">
        <v>0.57499999999999996</v>
      </c>
      <c r="M27" s="113" t="s">
        <v>9</v>
      </c>
      <c r="N27" s="179" t="str">
        <f>IF(L27="","",IF(L27&lt;=0.7,IF(L27&gt;=0.5,"Correct","Incorrect"),"Incorrect"))</f>
        <v>Correct</v>
      </c>
      <c r="O27" s="111" t="s">
        <v>119</v>
      </c>
      <c r="P27" s="180">
        <f>IF(L27&lt;&gt;"",1,0)</f>
        <v>1</v>
      </c>
    </row>
    <row r="28" spans="1:16" x14ac:dyDescent="0.25">
      <c r="A28" s="111" t="s">
        <v>38</v>
      </c>
      <c r="B28" s="150">
        <f>B26/B27</f>
        <v>1.0521739130434784</v>
      </c>
      <c r="C28" s="25"/>
      <c r="D28" s="24">
        <f>D26/D27</f>
        <v>1.0521739130434784</v>
      </c>
      <c r="F28" s="3"/>
      <c r="G28" s="3"/>
      <c r="H28"/>
      <c r="I28" s="111" t="s">
        <v>38</v>
      </c>
      <c r="J28" s="150">
        <f>J26/J27</f>
        <v>1.0521739130434784</v>
      </c>
      <c r="K28" s="25"/>
      <c r="L28" s="24">
        <f>L26/L27</f>
        <v>1.0521739130434784</v>
      </c>
      <c r="N28" s="3"/>
      <c r="O28" s="3"/>
    </row>
    <row r="29" spans="1:16" ht="9" customHeight="1" x14ac:dyDescent="0.25">
      <c r="B29" s="140"/>
      <c r="D29" s="2"/>
      <c r="F29" s="3"/>
      <c r="G29" s="3"/>
      <c r="H29"/>
      <c r="J29" s="140"/>
      <c r="L29" s="2"/>
      <c r="N29" s="3"/>
      <c r="O29" s="3"/>
    </row>
    <row r="30" spans="1:16" x14ac:dyDescent="0.25">
      <c r="A30" s="164" t="s">
        <v>39</v>
      </c>
      <c r="B30" s="147">
        <f>B28*B24</f>
        <v>2.7777391304347829</v>
      </c>
      <c r="C30" s="22"/>
      <c r="D30" s="147">
        <f>D28*D24</f>
        <v>1.5519565217391305</v>
      </c>
      <c r="E30" s="113" t="s">
        <v>123</v>
      </c>
      <c r="F30" s="157"/>
      <c r="G30" s="115"/>
      <c r="H30"/>
      <c r="I30" s="164" t="s">
        <v>39</v>
      </c>
      <c r="J30" s="147">
        <f>J28*J24</f>
        <v>2.7704484765491277</v>
      </c>
      <c r="K30" s="22"/>
      <c r="L30" s="147">
        <f>L28*L24</f>
        <v>2.2990414241698054</v>
      </c>
      <c r="M30" s="113" t="s">
        <v>123</v>
      </c>
      <c r="N30" s="157"/>
      <c r="O30" s="115"/>
    </row>
    <row r="31" spans="1:16" ht="8.25" customHeight="1" x14ac:dyDescent="0.25">
      <c r="B31" s="140"/>
      <c r="D31" s="2"/>
      <c r="F31" s="3"/>
      <c r="G31" s="3"/>
      <c r="H31"/>
      <c r="J31" s="140"/>
      <c r="L31" s="2"/>
      <c r="N31" s="3"/>
      <c r="O31" s="3"/>
    </row>
    <row r="32" spans="1:16" ht="15.75" x14ac:dyDescent="0.25">
      <c r="A32" s="111" t="s">
        <v>40</v>
      </c>
      <c r="B32" s="209">
        <v>0.08</v>
      </c>
      <c r="C32" s="12"/>
      <c r="D32" s="216">
        <v>0.08</v>
      </c>
      <c r="E32" s="113" t="s">
        <v>128</v>
      </c>
      <c r="F32" s="179" t="str">
        <f>IF(D32="","",IF(D32&lt;=0.3,IF(D32&gt;=0.02,"Correct","Incorrect"),"Incorrect"))</f>
        <v>Correct</v>
      </c>
      <c r="G32" s="111" t="s">
        <v>124</v>
      </c>
      <c r="H32" s="180">
        <f>IF(D32&lt;&gt;"",1,0)</f>
        <v>1</v>
      </c>
      <c r="I32" s="111" t="s">
        <v>40</v>
      </c>
      <c r="J32" s="209">
        <v>0.08</v>
      </c>
      <c r="K32" s="12"/>
      <c r="L32" s="216">
        <v>0.08</v>
      </c>
      <c r="M32" s="113" t="s">
        <v>128</v>
      </c>
      <c r="N32" s="179" t="str">
        <f>IF(L32="","",IF(L32&lt;=0.3,IF(L32&gt;=0.02,"Correct","Incorrect"),"Incorrect"))</f>
        <v>Correct</v>
      </c>
      <c r="O32" s="111" t="s">
        <v>126</v>
      </c>
      <c r="P32" s="180">
        <f>IF(L32&lt;&gt;"",1,0)</f>
        <v>1</v>
      </c>
    </row>
    <row r="33" spans="1:16" x14ac:dyDescent="0.25">
      <c r="B33" s="210">
        <f>(B32*B28)*-1</f>
        <v>-8.417391304347828E-2</v>
      </c>
      <c r="C33" s="211"/>
      <c r="D33" s="210">
        <f>(D32*D28)*-1</f>
        <v>-8.417391304347828E-2</v>
      </c>
      <c r="E33" s="113" t="s">
        <v>129</v>
      </c>
      <c r="F33" s="157"/>
      <c r="G33" s="115"/>
      <c r="H33"/>
      <c r="J33" s="210">
        <f>(J32*J28)*-1</f>
        <v>-8.417391304347828E-2</v>
      </c>
      <c r="K33" s="211"/>
      <c r="L33" s="210">
        <f>(L32*L28)*-1</f>
        <v>-8.417391304347828E-2</v>
      </c>
      <c r="M33" s="113" t="s">
        <v>125</v>
      </c>
      <c r="N33" s="157"/>
      <c r="O33" s="115"/>
    </row>
    <row r="34" spans="1:16" ht="15.75" x14ac:dyDescent="0.25">
      <c r="A34" s="214" t="s">
        <v>114</v>
      </c>
      <c r="B34" s="209">
        <v>0</v>
      </c>
      <c r="C34" s="12"/>
      <c r="D34" s="216">
        <v>5.0000000000000001E-3</v>
      </c>
      <c r="E34" s="113" t="s">
        <v>129</v>
      </c>
      <c r="F34" s="179" t="str">
        <f>IF(D34="","",IF(D34&lt;=0.9,IF(D34&gt;=-0.9,"Correct","Incorrect"),"Incorrect"))</f>
        <v>Correct</v>
      </c>
      <c r="G34" s="214" t="s">
        <v>138</v>
      </c>
      <c r="H34" s="180">
        <f>IF(D34&lt;&gt;"",1,0)</f>
        <v>1</v>
      </c>
      <c r="I34" s="214" t="s">
        <v>114</v>
      </c>
      <c r="J34" s="209">
        <v>0</v>
      </c>
      <c r="K34" s="12"/>
      <c r="L34" s="216">
        <v>5.0000000000000001E-3</v>
      </c>
      <c r="M34" s="113" t="s">
        <v>125</v>
      </c>
      <c r="N34" s="179" t="str">
        <f>IF(L34="","",IF(L34&lt;=0.9,IF(L34&gt;=-0.9,"Correct","Incorrect"),"Incorrect"))</f>
        <v>Correct</v>
      </c>
      <c r="O34" s="214" t="s">
        <v>138</v>
      </c>
      <c r="P34" s="180">
        <f>IF(L34&lt;&gt;"",1,0)</f>
        <v>1</v>
      </c>
    </row>
    <row r="35" spans="1:16" ht="7.5" customHeight="1" thickBot="1" x14ac:dyDescent="0.3">
      <c r="B35" s="151"/>
      <c r="C35" s="27"/>
      <c r="D35" s="26"/>
      <c r="E35" s="10"/>
      <c r="F35" s="159"/>
      <c r="G35" s="28"/>
      <c r="H35"/>
      <c r="J35" s="151"/>
      <c r="K35" s="27"/>
      <c r="L35" s="26"/>
      <c r="M35" s="10"/>
      <c r="N35" s="159"/>
      <c r="O35" s="28"/>
    </row>
    <row r="36" spans="1:16" ht="19.5" thickBot="1" x14ac:dyDescent="0.35">
      <c r="A36" s="29" t="s">
        <v>104</v>
      </c>
      <c r="B36" s="153">
        <f>B33+B30</f>
        <v>2.6935652173913045</v>
      </c>
      <c r="C36" s="31"/>
      <c r="D36" s="33">
        <f>IF(H36=6,D34+D33+D30,"")</f>
        <v>1.4727826086956521</v>
      </c>
      <c r="E36" s="112" t="s">
        <v>130</v>
      </c>
      <c r="F36" s="233" t="str">
        <f>IF(H36=6,"Les 6 cellules permettent de calculer le prix de vente","Une cellule JAUNE est manquante")</f>
        <v>Les 6 cellules permettent de calculer le prix de vente</v>
      </c>
      <c r="G36" s="234"/>
      <c r="H36" s="180">
        <f>SUM(H18:H34)</f>
        <v>6</v>
      </c>
      <c r="I36" s="29" t="s">
        <v>104</v>
      </c>
      <c r="J36" s="153">
        <f>J33+J30</f>
        <v>2.6862745635056493</v>
      </c>
      <c r="K36" s="31"/>
      <c r="L36" s="196">
        <f>IF(P36=7,L34+L33+L30,"")</f>
        <v>2.2198675111263273</v>
      </c>
      <c r="M36" s="112" t="s">
        <v>130</v>
      </c>
      <c r="N36" s="233" t="str">
        <f>IF(P36=7,"Les 7 cellules permettent de calculer le prix de vente","Une cellule JAUNE est manquante")</f>
        <v>Les 7 cellules permettent de calculer le prix de vente</v>
      </c>
      <c r="O36" s="234"/>
      <c r="P36" s="180">
        <f>SUM(P12:P35)</f>
        <v>7</v>
      </c>
    </row>
  </sheetData>
  <sheetProtection password="CC0A" sheet="1" objects="1" scenarios="1"/>
  <mergeCells count="2">
    <mergeCell ref="N36:O36"/>
    <mergeCell ref="F36:G36"/>
  </mergeCells>
  <phoneticPr fontId="0" type="noConversion"/>
  <conditionalFormatting sqref="N12 N14 N22 N26:N27 F32 F12 F14 F22 F26:F27 N32 F20 F34 N34">
    <cfRule type="cellIs" dxfId="89" priority="77" operator="equal">
      <formula>"Incorrect"</formula>
    </cfRule>
    <cfRule type="cellIs" dxfId="88" priority="78" operator="equal">
      <formula>"Correct"</formula>
    </cfRule>
  </conditionalFormatting>
  <conditionalFormatting sqref="F36:G36 N36:O36">
    <cfRule type="cellIs" dxfId="87" priority="75" operator="equal">
      <formula>"Les 12 cellules permettent de calculer le prix de vente"</formula>
    </cfRule>
    <cfRule type="containsText" dxfId="86" priority="76" operator="containsText" text="Une cellule ORANGE est manquante">
      <formula>NOT(ISERROR(SEARCH("Une cellule ORANGE est manquante",F36)))</formula>
    </cfRule>
  </conditionalFormatting>
  <conditionalFormatting sqref="F36:G36 N36:O36">
    <cfRule type="cellIs" dxfId="85" priority="73" operator="equal">
      <formula>"Les 12 cellules permettent de calculer le prix de vente"</formula>
    </cfRule>
    <cfRule type="containsText" dxfId="84" priority="74" operator="containsText" text="Une cellule ORANGE est manquante">
      <formula>NOT(ISERROR(SEARCH("Une cellule ORANGE est manquante",F36)))</formula>
    </cfRule>
  </conditionalFormatting>
  <conditionalFormatting sqref="N36:O36">
    <cfRule type="cellIs" dxfId="83" priority="71" operator="equal">
      <formula>"Les 12 cellules permettent de calculer le prix de vente"</formula>
    </cfRule>
    <cfRule type="containsText" dxfId="82" priority="72" operator="containsText" text="Une cellule ORANGE est manquante">
      <formula>NOT(ISERROR(SEARCH("Une cellule ORANGE est manquante",N36)))</formula>
    </cfRule>
  </conditionalFormatting>
  <conditionalFormatting sqref="F36:G36">
    <cfRule type="cellIs" dxfId="81" priority="41" operator="equal">
      <formula>"Les 6 cellules permettent de calculer le prix de vente"</formula>
    </cfRule>
    <cfRule type="containsText" dxfId="80" priority="42" operator="containsText" text="Une cellule ORANGE est manquante">
      <formula>NOT(ISERROR(SEARCH("Une cellule ORANGE est manquante",F36)))</formula>
    </cfRule>
  </conditionalFormatting>
  <conditionalFormatting sqref="N36:O36">
    <cfRule type="cellIs" dxfId="79" priority="35" operator="equal">
      <formula>"Les 7 cellules permettent de calculer le prix de vente"</formula>
    </cfRule>
    <cfRule type="containsText" dxfId="78" priority="36" operator="containsText" text="Une cellule ORANGE est manquante">
      <formula>NOT(ISERROR(SEARCH("Une cellule ORANGE est manquante",N36)))</formula>
    </cfRule>
  </conditionalFormatting>
  <conditionalFormatting sqref="F36:G36">
    <cfRule type="cellIs" dxfId="77" priority="33" operator="equal">
      <formula>"Les 12 cellules permettent de calculer le prix de vente"</formula>
    </cfRule>
    <cfRule type="containsText" dxfId="76" priority="34" operator="containsText" text="Une cellule ORANGE est manquante">
      <formula>NOT(ISERROR(SEARCH("Une cellule ORANGE est manquante",F36)))</formula>
    </cfRule>
  </conditionalFormatting>
  <conditionalFormatting sqref="F36:G36">
    <cfRule type="cellIs" dxfId="75" priority="31" operator="equal">
      <formula>"Les 12 cellules permettent de calculer le prix de vente"</formula>
    </cfRule>
    <cfRule type="containsText" dxfId="74" priority="32" operator="containsText" text="Une cellule ORANGE est manquante">
      <formula>NOT(ISERROR(SEARCH("Une cellule ORANGE est manquante",F36)))</formula>
    </cfRule>
  </conditionalFormatting>
  <conditionalFormatting sqref="F36:G36">
    <cfRule type="cellIs" dxfId="73" priority="29" operator="equal">
      <formula>"Les 12 cellules permettent de calculer le prix de vente"</formula>
    </cfRule>
    <cfRule type="containsText" dxfId="72" priority="30" operator="containsText" text="Une cellule ORANGE est manquante">
      <formula>NOT(ISERROR(SEARCH("Une cellule ORANGE est manquante",F36)))</formula>
    </cfRule>
  </conditionalFormatting>
  <conditionalFormatting sqref="F36:G36">
    <cfRule type="cellIs" dxfId="71" priority="27" operator="equal">
      <formula>"Les 13 cellules permettent de calculer le prix de vente"</formula>
    </cfRule>
    <cfRule type="containsText" dxfId="70" priority="28" operator="containsText" text="Une cellule ORANGE est manquante">
      <formula>NOT(ISERROR(SEARCH("Une cellule ORANGE est manquante",F36)))</formula>
    </cfRule>
  </conditionalFormatting>
  <conditionalFormatting sqref="F36:G36">
    <cfRule type="cellIs" dxfId="69" priority="25" operator="equal">
      <formula>"Les 12 cellules permettent de calculer le prix de vente"</formula>
    </cfRule>
    <cfRule type="containsText" dxfId="68" priority="26" operator="containsText" text="Une cellule JAUNE est manquante">
      <formula>NOT(ISERROR(SEARCH("Une cellule JAUNE est manquante",F36)))</formula>
    </cfRule>
  </conditionalFormatting>
  <conditionalFormatting sqref="F36:G36">
    <cfRule type="cellIs" dxfId="67" priority="23" operator="equal">
      <formula>"Les 12 cellules permettent de calculer le prix de vente"</formula>
    </cfRule>
    <cfRule type="containsText" dxfId="66" priority="24" operator="containsText" text="Une cellule JAUNE est manquante">
      <formula>NOT(ISERROR(SEARCH("Une cellule JAUNE est manquante",F36)))</formula>
    </cfRule>
  </conditionalFormatting>
  <conditionalFormatting sqref="F36:G36">
    <cfRule type="cellIs" dxfId="65" priority="21" operator="equal">
      <formula>"Les 12 cellules permettent de calculer le prix de vente"</formula>
    </cfRule>
    <cfRule type="containsText" dxfId="64" priority="22" operator="containsText" text="Une cellule JAUNE est manquante">
      <formula>NOT(ISERROR(SEARCH("Une cellule JAUNE est manquante",F36)))</formula>
    </cfRule>
  </conditionalFormatting>
  <conditionalFormatting sqref="F36:G36">
    <cfRule type="cellIs" dxfId="63" priority="19" operator="equal">
      <formula>"Les 13 cellules permettent de calculer le prix de vente"</formula>
    </cfRule>
    <cfRule type="containsText" dxfId="62" priority="20" operator="containsText" text="Une cellule JAUNE est manquante">
      <formula>NOT(ISERROR(SEARCH("Une cellule JAUNE est manquante",F36)))</formula>
    </cfRule>
  </conditionalFormatting>
  <conditionalFormatting sqref="N36:O36">
    <cfRule type="cellIs" dxfId="61" priority="17" operator="equal">
      <formula>"Les 6 cellules permettent de calculer le prix de vente"</formula>
    </cfRule>
    <cfRule type="containsText" dxfId="60" priority="18" operator="containsText" text="Une cellule ORANGE est manquante">
      <formula>NOT(ISERROR(SEARCH("Une cellule ORANGE est manquante",N36)))</formula>
    </cfRule>
  </conditionalFormatting>
  <conditionalFormatting sqref="N36:O36">
    <cfRule type="cellIs" dxfId="59" priority="15" operator="equal">
      <formula>"Les 12 cellules permettent de calculer le prix de vente"</formula>
    </cfRule>
    <cfRule type="containsText" dxfId="58" priority="16" operator="containsText" text="Une cellule ORANGE est manquante">
      <formula>NOT(ISERROR(SEARCH("Une cellule ORANGE est manquante",N36)))</formula>
    </cfRule>
  </conditionalFormatting>
  <conditionalFormatting sqref="N36:O36">
    <cfRule type="cellIs" dxfId="57" priority="13" operator="equal">
      <formula>"Les 12 cellules permettent de calculer le prix de vente"</formula>
    </cfRule>
    <cfRule type="containsText" dxfId="56" priority="14" operator="containsText" text="Une cellule ORANGE est manquante">
      <formula>NOT(ISERROR(SEARCH("Une cellule ORANGE est manquante",N36)))</formula>
    </cfRule>
  </conditionalFormatting>
  <conditionalFormatting sqref="N36:O36">
    <cfRule type="cellIs" dxfId="55" priority="11" operator="equal">
      <formula>"Les 12 cellules permettent de calculer le prix de vente"</formula>
    </cfRule>
    <cfRule type="containsText" dxfId="54" priority="12" operator="containsText" text="Une cellule ORANGE est manquante">
      <formula>NOT(ISERROR(SEARCH("Une cellule ORANGE est manquante",N36)))</formula>
    </cfRule>
  </conditionalFormatting>
  <conditionalFormatting sqref="N36:O36">
    <cfRule type="cellIs" dxfId="53" priority="9" operator="equal">
      <formula>"Les 13 cellules permettent de calculer le prix de vente"</formula>
    </cfRule>
    <cfRule type="containsText" dxfId="52" priority="10" operator="containsText" text="Une cellule ORANGE est manquante">
      <formula>NOT(ISERROR(SEARCH("Une cellule ORANGE est manquante",N36)))</formula>
    </cfRule>
  </conditionalFormatting>
  <conditionalFormatting sqref="N36:O36">
    <cfRule type="cellIs" dxfId="51" priority="7" operator="equal">
      <formula>"Les 12 cellules permettent de calculer le prix de vente"</formula>
    </cfRule>
    <cfRule type="containsText" dxfId="50" priority="8" operator="containsText" text="Une cellule JAUNE est manquante">
      <formula>NOT(ISERROR(SEARCH("Une cellule JAUNE est manquante",N36)))</formula>
    </cfRule>
  </conditionalFormatting>
  <conditionalFormatting sqref="N36:O36">
    <cfRule type="cellIs" dxfId="49" priority="5" operator="equal">
      <formula>"Les 12 cellules permettent de calculer le prix de vente"</formula>
    </cfRule>
    <cfRule type="containsText" dxfId="48" priority="6" operator="containsText" text="Une cellule JAUNE est manquante">
      <formula>NOT(ISERROR(SEARCH("Une cellule JAUNE est manquante",N36)))</formula>
    </cfRule>
  </conditionalFormatting>
  <conditionalFormatting sqref="N36:O36">
    <cfRule type="cellIs" dxfId="47" priority="3" operator="equal">
      <formula>"Les 12 cellules permettent de calculer le prix de vente"</formula>
    </cfRule>
    <cfRule type="containsText" dxfId="46" priority="4" operator="containsText" text="Une cellule JAUNE est manquante">
      <formula>NOT(ISERROR(SEARCH("Une cellule JAUNE est manquante",N36)))</formula>
    </cfRule>
  </conditionalFormatting>
  <conditionalFormatting sqref="N36:O36">
    <cfRule type="cellIs" dxfId="45" priority="1" operator="equal">
      <formula>"Les 13 cellules permettent de calculer le prix de vente"</formula>
    </cfRule>
    <cfRule type="containsText" dxfId="44" priority="2" operator="containsText" text="Une cellule JAUNE est manquante">
      <formula>NOT(ISERROR(SEARCH("Une cellule JAUNE est manquante",N36)))</formula>
    </cfRule>
  </conditionalFormatting>
  <pageMargins left="0.35433070866141736" right="0.27559055118110237" top="0.31496062992125984" bottom="0.74803149606299213" header="0.19685039370078741" footer="0.31496062992125984"/>
  <pageSetup paperSize="5" scale="50" orientation="landscape" horizontalDpi="0" verticalDpi="0" r:id="rId1"/>
  <ignoredErrors>
    <ignoredError sqref="L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5" zoomScale="120" zoomScaleNormal="120" workbookViewId="0">
      <selection activeCell="E37" sqref="E37"/>
    </sheetView>
  </sheetViews>
  <sheetFormatPr baseColWidth="10" defaultRowHeight="15" x14ac:dyDescent="0.25"/>
  <cols>
    <col min="1" max="1" width="47.5703125" customWidth="1"/>
    <col min="2" max="2" width="11.85546875" customWidth="1"/>
    <col min="3" max="3" width="0.5703125" customWidth="1"/>
    <col min="4" max="4" width="13.140625" bestFit="1" customWidth="1"/>
    <col min="5" max="5" width="29.85546875" bestFit="1" customWidth="1"/>
    <col min="6" max="6" width="10.42578125" style="3" customWidth="1"/>
    <col min="7" max="7" width="57.5703125" bestFit="1" customWidth="1"/>
    <col min="8" max="8" width="5.28515625" style="180" customWidth="1"/>
  </cols>
  <sheetData>
    <row r="1" spans="1:8" ht="26.25" x14ac:dyDescent="0.4">
      <c r="A1" s="1" t="s">
        <v>94</v>
      </c>
      <c r="B1" s="2"/>
      <c r="D1" s="2"/>
      <c r="G1" s="3"/>
    </row>
    <row r="2" spans="1:8" x14ac:dyDescent="0.25">
      <c r="A2" s="181" t="s">
        <v>112</v>
      </c>
      <c r="B2" s="2"/>
      <c r="D2" s="2"/>
      <c r="E2" s="5" t="s">
        <v>139</v>
      </c>
      <c r="G2" s="3"/>
    </row>
    <row r="3" spans="1:8" ht="12" customHeight="1" x14ac:dyDescent="0.4">
      <c r="A3" s="1"/>
      <c r="B3" s="2"/>
      <c r="D3" s="2"/>
      <c r="G3" s="3"/>
    </row>
    <row r="4" spans="1:8" ht="22.5" customHeight="1" x14ac:dyDescent="0.3">
      <c r="A4" s="19" t="s">
        <v>100</v>
      </c>
      <c r="B4" s="2"/>
      <c r="D4" s="2"/>
      <c r="G4" s="3"/>
    </row>
    <row r="5" spans="1:8" ht="19.5" customHeight="1" x14ac:dyDescent="0.3">
      <c r="A5" s="215" t="s">
        <v>137</v>
      </c>
      <c r="B5" s="19" t="s">
        <v>97</v>
      </c>
      <c r="D5" s="2"/>
      <c r="F5" s="156"/>
      <c r="G5" s="3"/>
    </row>
    <row r="6" spans="1:8" ht="18.75" x14ac:dyDescent="0.3">
      <c r="A6" s="134" t="s">
        <v>115</v>
      </c>
      <c r="B6" s="19" t="s">
        <v>98</v>
      </c>
      <c r="D6" s="2"/>
      <c r="F6" s="156"/>
      <c r="G6" s="3"/>
    </row>
    <row r="7" spans="1:8" ht="23.25" customHeight="1" x14ac:dyDescent="0.3">
      <c r="A7" s="117" t="s">
        <v>96</v>
      </c>
      <c r="B7" s="19" t="s">
        <v>99</v>
      </c>
      <c r="C7" s="110"/>
      <c r="D7" s="110"/>
      <c r="F7" s="156"/>
      <c r="G7" s="3"/>
    </row>
    <row r="8" spans="1:8" ht="13.5" customHeight="1" x14ac:dyDescent="0.25">
      <c r="B8" s="110"/>
      <c r="C8" s="110"/>
      <c r="D8" s="110"/>
      <c r="F8" s="156"/>
      <c r="G8" s="3"/>
    </row>
    <row r="9" spans="1:8" x14ac:dyDescent="0.25">
      <c r="A9" s="240" t="s">
        <v>1</v>
      </c>
      <c r="B9" s="243" t="s">
        <v>0</v>
      </c>
      <c r="C9" s="135"/>
      <c r="D9" s="242" t="s">
        <v>109</v>
      </c>
      <c r="E9" s="235" t="s">
        <v>2</v>
      </c>
      <c r="F9" s="235" t="s">
        <v>103</v>
      </c>
      <c r="G9" s="238" t="s">
        <v>3</v>
      </c>
    </row>
    <row r="10" spans="1:8" x14ac:dyDescent="0.25">
      <c r="A10" s="241"/>
      <c r="B10" s="244"/>
      <c r="C10" s="136"/>
      <c r="D10" s="236"/>
      <c r="E10" s="236"/>
      <c r="F10" s="237"/>
      <c r="G10" s="239"/>
    </row>
    <row r="11" spans="1:8" ht="15.75" x14ac:dyDescent="0.25">
      <c r="A11" s="160" t="s">
        <v>4</v>
      </c>
      <c r="B11" s="137">
        <v>41640</v>
      </c>
      <c r="C11" s="6"/>
      <c r="D11" s="219">
        <v>43009</v>
      </c>
      <c r="E11" s="111" t="s">
        <v>5</v>
      </c>
      <c r="F11" s="179" t="str">
        <f>IF(D11="","",IF(D11&lt;=43100,IF(D11&gt;=42005,"Correct","Incorrect"),"Incorrect"))</f>
        <v>Correct</v>
      </c>
      <c r="G11" s="111" t="s">
        <v>6</v>
      </c>
      <c r="H11" s="180">
        <f>IF(D11&lt;&gt;"",1,0)</f>
        <v>1</v>
      </c>
    </row>
    <row r="12" spans="1:8" ht="15.75" x14ac:dyDescent="0.25">
      <c r="A12" s="111" t="s">
        <v>95</v>
      </c>
      <c r="B12" s="138">
        <v>550</v>
      </c>
      <c r="C12" s="7"/>
      <c r="D12" s="220">
        <v>750</v>
      </c>
      <c r="E12" s="111" t="s">
        <v>7</v>
      </c>
      <c r="F12" s="179" t="str">
        <f>IF(D12="","",IF(D12&lt;=1500,IF(D12&gt;=300,"Correct","Incorrect"),"Incorrect"))</f>
        <v>Correct</v>
      </c>
      <c r="G12" s="112" t="s">
        <v>131</v>
      </c>
      <c r="H12" s="180">
        <f>IF(D12&lt;&gt;"",1,0)</f>
        <v>1</v>
      </c>
    </row>
    <row r="13" spans="1:8" ht="15.75" x14ac:dyDescent="0.25">
      <c r="A13" s="111" t="s">
        <v>8</v>
      </c>
      <c r="B13" s="139">
        <v>3</v>
      </c>
      <c r="C13" s="9"/>
      <c r="D13" s="221">
        <v>0</v>
      </c>
      <c r="E13" s="113" t="s">
        <v>9</v>
      </c>
      <c r="F13" s="179" t="str">
        <f>IF(D13="","",IF(D13&lt;=8,IF(D13&gt;=0,"Correct","Incorrect"),"Incorrect"))</f>
        <v>Correct</v>
      </c>
      <c r="G13" s="112" t="s">
        <v>10</v>
      </c>
      <c r="H13" s="180">
        <f>IF(D13&lt;&gt;"",1,0)</f>
        <v>1</v>
      </c>
    </row>
    <row r="14" spans="1:8" ht="12.75" customHeight="1" x14ac:dyDescent="0.25">
      <c r="B14" s="140"/>
      <c r="D14" s="2"/>
      <c r="G14" s="3"/>
    </row>
    <row r="15" spans="1:8" x14ac:dyDescent="0.25">
      <c r="A15" s="111" t="s">
        <v>11</v>
      </c>
      <c r="B15" s="141">
        <f>B12-(B12*B13/100)</f>
        <v>533.5</v>
      </c>
      <c r="C15" s="12"/>
      <c r="D15" s="11">
        <f>D12-(D12*D13/100)</f>
        <v>750</v>
      </c>
      <c r="E15" s="111" t="s">
        <v>7</v>
      </c>
      <c r="F15" s="115"/>
      <c r="G15" s="115"/>
    </row>
    <row r="16" spans="1:8" ht="15.75" x14ac:dyDescent="0.25">
      <c r="A16" s="111" t="s">
        <v>12</v>
      </c>
      <c r="B16" s="138">
        <v>1450</v>
      </c>
      <c r="C16" s="7"/>
      <c r="D16" s="220">
        <v>1500</v>
      </c>
      <c r="E16" s="111" t="s">
        <v>7</v>
      </c>
      <c r="F16" s="179" t="str">
        <f>IF(D16="","",IF(D16&lt;=2000,IF(D16&gt;=1000,"Correct","Incorrect"),"Incorrect"))</f>
        <v>Correct</v>
      </c>
      <c r="G16" s="112" t="s">
        <v>13</v>
      </c>
      <c r="H16" s="180">
        <f>IF(D16&lt;&gt;"",1,0)</f>
        <v>1</v>
      </c>
    </row>
    <row r="17" spans="1:8" ht="11.25" customHeight="1" x14ac:dyDescent="0.25">
      <c r="B17" s="140"/>
      <c r="D17" s="2"/>
      <c r="G17" s="3"/>
    </row>
    <row r="18" spans="1:8" x14ac:dyDescent="0.25">
      <c r="A18" s="111" t="s">
        <v>14</v>
      </c>
      <c r="B18" s="141">
        <f>B16-B15</f>
        <v>916.5</v>
      </c>
      <c r="C18" s="12"/>
      <c r="D18" s="11">
        <f>D16-D15</f>
        <v>750</v>
      </c>
      <c r="E18" s="111" t="s">
        <v>7</v>
      </c>
      <c r="F18" s="115"/>
      <c r="G18" s="111" t="s">
        <v>15</v>
      </c>
    </row>
    <row r="19" spans="1:8" ht="15.75" x14ac:dyDescent="0.25">
      <c r="A19" s="111" t="s">
        <v>16</v>
      </c>
      <c r="B19" s="139">
        <v>4</v>
      </c>
      <c r="C19" s="9"/>
      <c r="D19" s="221">
        <v>4</v>
      </c>
      <c r="E19" s="111" t="s">
        <v>17</v>
      </c>
      <c r="F19" s="179" t="str">
        <f>IF(D19="","",IF(D19&lt;=8,IF(D19&gt;=1,"Correct","Incorrect"),"Incorrect"))</f>
        <v>Correct</v>
      </c>
      <c r="G19" s="112" t="s">
        <v>18</v>
      </c>
      <c r="H19" s="180">
        <f>IF(D19&lt;&gt;"",1,0)</f>
        <v>1</v>
      </c>
    </row>
    <row r="20" spans="1:8" x14ac:dyDescent="0.25">
      <c r="A20" s="111" t="s">
        <v>19</v>
      </c>
      <c r="B20" s="142">
        <f>B18/B19</f>
        <v>229.125</v>
      </c>
      <c r="C20" s="14"/>
      <c r="D20" s="13">
        <f>D18/D19</f>
        <v>187.5</v>
      </c>
      <c r="E20" s="111" t="s">
        <v>20</v>
      </c>
      <c r="F20" s="115"/>
      <c r="G20" s="112" t="s">
        <v>21</v>
      </c>
    </row>
    <row r="21" spans="1:8" ht="12" customHeight="1" x14ac:dyDescent="0.25">
      <c r="B21" s="143"/>
      <c r="C21" s="16"/>
      <c r="D21" s="15"/>
      <c r="G21" s="8"/>
    </row>
    <row r="22" spans="1:8" ht="15.75" x14ac:dyDescent="0.25">
      <c r="A22" s="111" t="s">
        <v>22</v>
      </c>
      <c r="B22" s="138">
        <v>1.05</v>
      </c>
      <c r="C22" s="7"/>
      <c r="D22" s="220">
        <v>0.95</v>
      </c>
      <c r="E22" s="111" t="s">
        <v>23</v>
      </c>
      <c r="F22" s="179" t="str">
        <f>IF(D22="","",IF(D22&lt;=2,IF(D22&gt;=0.5,"Correct","Incorrect"),"Incorrect"))</f>
        <v>Correct</v>
      </c>
      <c r="G22" s="112" t="s">
        <v>24</v>
      </c>
      <c r="H22" s="180">
        <f>IF(D22&lt;&gt;"",1,0)</f>
        <v>1</v>
      </c>
    </row>
    <row r="23" spans="1:8" x14ac:dyDescent="0.25">
      <c r="A23" s="111" t="s">
        <v>25</v>
      </c>
      <c r="B23" s="142">
        <f>B22*B18</f>
        <v>962.32500000000005</v>
      </c>
      <c r="C23" s="14"/>
      <c r="D23" s="13">
        <f>D22*D18</f>
        <v>712.5</v>
      </c>
      <c r="E23" s="111" t="s">
        <v>26</v>
      </c>
      <c r="F23" s="115"/>
      <c r="G23" s="116"/>
    </row>
    <row r="24" spans="1:8" ht="11.25" customHeight="1" thickBot="1" x14ac:dyDescent="0.3">
      <c r="B24" s="144"/>
      <c r="C24" s="18"/>
      <c r="D24" s="17"/>
      <c r="G24" s="8"/>
    </row>
    <row r="25" spans="1:8" ht="19.5" thickBot="1" x14ac:dyDescent="0.35">
      <c r="A25" s="161" t="s">
        <v>101</v>
      </c>
      <c r="B25" s="162">
        <f>B20+B11</f>
        <v>41869.125</v>
      </c>
      <c r="C25" s="163"/>
      <c r="D25" s="162">
        <f>D20+D11</f>
        <v>43196.5</v>
      </c>
      <c r="E25" s="133">
        <f>D25</f>
        <v>43196.5</v>
      </c>
      <c r="F25" s="119"/>
      <c r="G25" s="112" t="s">
        <v>27</v>
      </c>
    </row>
    <row r="26" spans="1:8" ht="26.25" customHeight="1" x14ac:dyDescent="0.25">
      <c r="B26" s="144"/>
      <c r="C26" s="18"/>
      <c r="D26" s="17"/>
      <c r="G26" s="8"/>
    </row>
    <row r="27" spans="1:8" ht="18.75" x14ac:dyDescent="0.3">
      <c r="A27" s="4" t="s">
        <v>28</v>
      </c>
      <c r="B27" s="140"/>
      <c r="D27" s="2"/>
      <c r="G27" s="5"/>
    </row>
    <row r="28" spans="1:8" ht="15.75" x14ac:dyDescent="0.25">
      <c r="A28" s="160" t="s">
        <v>29</v>
      </c>
      <c r="B28" s="145">
        <v>1.5</v>
      </c>
      <c r="C28" s="20"/>
      <c r="D28" s="216">
        <v>1.2</v>
      </c>
      <c r="E28" s="113" t="s">
        <v>30</v>
      </c>
      <c r="F28" s="179" t="str">
        <f>IF(D28="","",IF(D28&lt;=3,IF(D28&gt;=0.5,"Correct","Incorrect"),"Incorrect"))</f>
        <v>Correct</v>
      </c>
      <c r="G28" s="112" t="s">
        <v>102</v>
      </c>
      <c r="H28" s="180">
        <f>IF(D28&lt;&gt;"",1,0)</f>
        <v>1</v>
      </c>
    </row>
    <row r="29" spans="1:8" x14ac:dyDescent="0.25">
      <c r="B29" s="140"/>
      <c r="D29" s="2"/>
      <c r="G29" s="3"/>
    </row>
    <row r="30" spans="1:8" ht="15.75" x14ac:dyDescent="0.25">
      <c r="A30" s="111" t="s">
        <v>31</v>
      </c>
      <c r="B30" s="146">
        <v>0.02</v>
      </c>
      <c r="C30" s="7"/>
      <c r="D30" s="216">
        <v>0.02</v>
      </c>
      <c r="E30" s="113" t="s">
        <v>30</v>
      </c>
      <c r="F30" s="179" t="str">
        <f>IF(D30="","",IF(D30&lt;=10,IF(D30&gt;=-10.8,"Correct","Incorrect"),"Incorrect"))</f>
        <v>Correct</v>
      </c>
      <c r="G30" s="112" t="s">
        <v>32</v>
      </c>
      <c r="H30" s="180">
        <f>IF(D30&lt;&gt;"",1,0)</f>
        <v>1</v>
      </c>
    </row>
    <row r="31" spans="1:8" x14ac:dyDescent="0.25">
      <c r="B31" s="140"/>
      <c r="D31" s="2"/>
      <c r="G31" s="3"/>
    </row>
    <row r="32" spans="1:8" x14ac:dyDescent="0.25">
      <c r="A32" s="164" t="s">
        <v>33</v>
      </c>
      <c r="B32" s="147">
        <f>B30+B28</f>
        <v>1.52</v>
      </c>
      <c r="C32" s="22"/>
      <c r="D32" s="147">
        <f>D30+D28</f>
        <v>1.22</v>
      </c>
      <c r="E32" s="113" t="s">
        <v>30</v>
      </c>
      <c r="F32" s="157"/>
      <c r="G32" s="115"/>
    </row>
    <row r="33" spans="1:8" x14ac:dyDescent="0.25">
      <c r="B33" s="140"/>
      <c r="D33" s="2"/>
      <c r="G33" s="3"/>
    </row>
    <row r="34" spans="1:8" ht="13.5" customHeight="1" x14ac:dyDescent="0.25">
      <c r="A34" s="165" t="s">
        <v>118</v>
      </c>
      <c r="B34" s="148">
        <v>0.63500000000000001</v>
      </c>
      <c r="C34" s="7"/>
      <c r="D34" s="148">
        <v>0.63500000000000001</v>
      </c>
      <c r="E34" s="114"/>
      <c r="F34" s="158"/>
      <c r="G34" s="111" t="s">
        <v>34</v>
      </c>
    </row>
    <row r="35" spans="1:8" x14ac:dyDescent="0.25">
      <c r="B35" s="140"/>
      <c r="D35" s="2"/>
      <c r="G35" s="3"/>
    </row>
    <row r="36" spans="1:8" x14ac:dyDescent="0.25">
      <c r="A36" s="164" t="s">
        <v>35</v>
      </c>
      <c r="B36" s="147">
        <f>B32/B34</f>
        <v>2.393700787401575</v>
      </c>
      <c r="C36" s="22"/>
      <c r="D36" s="147">
        <f>D32/D34</f>
        <v>1.921259842519685</v>
      </c>
      <c r="E36" s="113" t="s">
        <v>117</v>
      </c>
      <c r="F36" s="157"/>
      <c r="G36" s="115"/>
    </row>
    <row r="37" spans="1:8" x14ac:dyDescent="0.25">
      <c r="B37" s="140"/>
      <c r="D37" s="2"/>
      <c r="G37" s="3"/>
    </row>
    <row r="38" spans="1:8" ht="30" x14ac:dyDescent="0.25">
      <c r="A38" s="111" t="s">
        <v>120</v>
      </c>
      <c r="B38" s="149">
        <v>1.1000000000000001</v>
      </c>
      <c r="C38" s="22"/>
      <c r="D38" s="217">
        <v>1.25</v>
      </c>
      <c r="E38" s="111" t="s">
        <v>134</v>
      </c>
      <c r="F38" s="179" t="str">
        <f>IF(D38="","",IF(D38&lt;=1.5,IF(D38&gt;=0.5,"Correct","Incorrect"),"Incorrect"))</f>
        <v>Correct</v>
      </c>
      <c r="G38" s="118" t="s">
        <v>36</v>
      </c>
      <c r="H38" s="180">
        <f>IF(D38&lt;&gt;"",1,0)</f>
        <v>1</v>
      </c>
    </row>
    <row r="39" spans="1:8" x14ac:dyDescent="0.25">
      <c r="B39" s="140"/>
      <c r="D39" s="2"/>
      <c r="G39" s="3"/>
    </row>
    <row r="40" spans="1:8" x14ac:dyDescent="0.25">
      <c r="A40" s="164" t="s">
        <v>37</v>
      </c>
      <c r="B40" s="147">
        <f>B36*B38</f>
        <v>2.6330708661417326</v>
      </c>
      <c r="C40" s="22"/>
      <c r="D40" s="21">
        <f>D36*D38</f>
        <v>2.401574803149606</v>
      </c>
      <c r="E40" s="113" t="s">
        <v>121</v>
      </c>
      <c r="F40" s="157"/>
      <c r="G40" s="115"/>
    </row>
    <row r="41" spans="1:8" x14ac:dyDescent="0.25">
      <c r="B41" s="140"/>
      <c r="D41" s="2"/>
      <c r="G41" s="3"/>
    </row>
    <row r="42" spans="1:8" ht="30" x14ac:dyDescent="0.25">
      <c r="A42" s="165" t="s">
        <v>116</v>
      </c>
      <c r="B42" s="138">
        <v>0.60499999999999998</v>
      </c>
      <c r="C42" s="23"/>
      <c r="D42" s="218">
        <v>0.60499999999999998</v>
      </c>
      <c r="E42" s="113" t="s">
        <v>9</v>
      </c>
      <c r="F42" s="179" t="str">
        <f>IF(D42="","",IF(D42&lt;=0.7,IF(D42&gt;=0.5,"Correct","Incorrect"),"Incorrect"))</f>
        <v>Correct</v>
      </c>
      <c r="G42" s="111" t="s">
        <v>119</v>
      </c>
      <c r="H42" s="180">
        <f>IF(D42&lt;&gt;"",1,0)</f>
        <v>1</v>
      </c>
    </row>
    <row r="43" spans="1:8" ht="30" x14ac:dyDescent="0.25">
      <c r="A43" s="165" t="s">
        <v>122</v>
      </c>
      <c r="B43" s="138">
        <v>0.57499999999999996</v>
      </c>
      <c r="C43" s="23"/>
      <c r="D43" s="218">
        <v>0.57499999999999996</v>
      </c>
      <c r="E43" s="113" t="s">
        <v>9</v>
      </c>
      <c r="F43" s="179" t="str">
        <f>IF(D43="","",IF(D43&lt;=0.7,IF(D43&gt;=0.5,"Correct","Incorrect"),"Incorrect"))</f>
        <v>Correct</v>
      </c>
      <c r="G43" s="111" t="s">
        <v>119</v>
      </c>
      <c r="H43" s="180">
        <f>IF(D43&lt;&gt;"",1,0)</f>
        <v>1</v>
      </c>
    </row>
    <row r="44" spans="1:8" x14ac:dyDescent="0.25">
      <c r="A44" s="111" t="s">
        <v>38</v>
      </c>
      <c r="B44" s="150">
        <f>B42/B43</f>
        <v>1.0521739130434784</v>
      </c>
      <c r="C44" s="25"/>
      <c r="D44" s="24">
        <f>D42/D43</f>
        <v>1.0521739130434784</v>
      </c>
      <c r="G44" s="3"/>
    </row>
    <row r="45" spans="1:8" x14ac:dyDescent="0.25">
      <c r="B45" s="140"/>
      <c r="D45" s="2"/>
      <c r="G45" s="3"/>
    </row>
    <row r="46" spans="1:8" x14ac:dyDescent="0.25">
      <c r="A46" s="164" t="s">
        <v>39</v>
      </c>
      <c r="B46" s="147">
        <f>B44*B40</f>
        <v>2.7704484765491277</v>
      </c>
      <c r="C46" s="22"/>
      <c r="D46" s="147">
        <f>D44*D40</f>
        <v>2.5268743580965425</v>
      </c>
      <c r="E46" s="113" t="s">
        <v>123</v>
      </c>
      <c r="F46" s="157"/>
      <c r="G46" s="115"/>
    </row>
    <row r="47" spans="1:8" x14ac:dyDescent="0.25">
      <c r="B47" s="140"/>
      <c r="D47" s="2"/>
      <c r="G47" s="3"/>
    </row>
    <row r="48" spans="1:8" ht="15.75" x14ac:dyDescent="0.25">
      <c r="A48" s="111" t="s">
        <v>40</v>
      </c>
      <c r="B48" s="138">
        <v>0.08</v>
      </c>
      <c r="C48" s="12"/>
      <c r="D48" s="216">
        <v>0.08</v>
      </c>
      <c r="E48" s="113" t="s">
        <v>128</v>
      </c>
      <c r="F48" s="179" t="str">
        <f>IF(D48="","",IF(D48&lt;=0.3,IF(D48&gt;=0.02,"Correct","Incorrect"),"Incorrect"))</f>
        <v>Correct</v>
      </c>
      <c r="G48" s="111" t="s">
        <v>126</v>
      </c>
      <c r="H48" s="180">
        <f>IF(D48&lt;&gt;"",1,0)</f>
        <v>1</v>
      </c>
    </row>
    <row r="49" spans="1:8" x14ac:dyDescent="0.25">
      <c r="B49" s="150">
        <f>(B48*B44)*-1</f>
        <v>-8.417391304347828E-2</v>
      </c>
      <c r="C49" s="25"/>
      <c r="D49" s="24">
        <f>(D48*D44)*-1</f>
        <v>-8.417391304347828E-2</v>
      </c>
      <c r="E49" s="113" t="s">
        <v>129</v>
      </c>
      <c r="F49" s="157"/>
      <c r="G49" s="115"/>
    </row>
    <row r="50" spans="1:8" ht="15.75" x14ac:dyDescent="0.25">
      <c r="A50" s="214" t="s">
        <v>114</v>
      </c>
      <c r="B50" s="209">
        <v>0</v>
      </c>
      <c r="C50" s="12"/>
      <c r="D50" s="216">
        <v>5.0000000000000001E-3</v>
      </c>
      <c r="E50" s="113" t="s">
        <v>129</v>
      </c>
      <c r="F50" s="179" t="str">
        <f>IF(D50="","",IF(D50&lt;=0.9,IF(D50&gt;=-0.9,"Correct","Incorrect"),"Incorrect"))</f>
        <v>Correct</v>
      </c>
      <c r="G50" s="214" t="s">
        <v>138</v>
      </c>
      <c r="H50" s="180">
        <f>IF(D50&lt;&gt;"",1,0)</f>
        <v>1</v>
      </c>
    </row>
    <row r="51" spans="1:8" ht="15.75" thickBot="1" x14ac:dyDescent="0.3">
      <c r="B51" s="151"/>
      <c r="C51" s="27"/>
      <c r="D51" s="26"/>
      <c r="E51" s="10"/>
      <c r="F51" s="159"/>
      <c r="G51" s="28"/>
    </row>
    <row r="52" spans="1:8" ht="19.5" thickBot="1" x14ac:dyDescent="0.35">
      <c r="A52" s="29" t="s">
        <v>104</v>
      </c>
      <c r="B52" s="153">
        <f>B49+B46</f>
        <v>2.6862745635056493</v>
      </c>
      <c r="C52" s="31"/>
      <c r="D52" s="30">
        <f>IF(H52=13,D50+D49+D46,"")</f>
        <v>2.4477004450530644</v>
      </c>
      <c r="E52" s="112" t="s">
        <v>127</v>
      </c>
      <c r="F52" s="233" t="str">
        <f>IF(H52=13,"Les 13 cellules permettent de calculer le prix de vente","Une cellule JAUNE est manquante")</f>
        <v>Les 13 cellules permettent de calculer le prix de vente</v>
      </c>
      <c r="G52" s="234"/>
      <c r="H52" s="180">
        <f>SUM(H11:H50)</f>
        <v>13</v>
      </c>
    </row>
    <row r="53" spans="1:8" ht="15.75" customHeight="1" thickBot="1" x14ac:dyDescent="0.3">
      <c r="B53" s="152"/>
      <c r="D53" s="2"/>
      <c r="G53" s="3"/>
    </row>
    <row r="54" spans="1:8" ht="19.5" thickBot="1" x14ac:dyDescent="0.35">
      <c r="A54" s="29" t="s">
        <v>41</v>
      </c>
      <c r="B54" s="154">
        <f>(B52*(B16*B43))-B23</f>
        <v>1277.3564173228349</v>
      </c>
      <c r="C54" s="31"/>
      <c r="D54" s="32">
        <f>IF(H54=13,(D52*(D16*D43))-D23,"")</f>
        <v>1398.6416338582676</v>
      </c>
      <c r="E54" s="111" t="s">
        <v>26</v>
      </c>
      <c r="F54" s="233" t="str">
        <f>IF(H54=13,"Les 13 cellules permettent de calculer le prix de vente","Une cellule JAUNE est manquante")</f>
        <v>Les 13 cellules permettent de calculer le prix de vente</v>
      </c>
      <c r="G54" s="234"/>
      <c r="H54" s="180">
        <f>SUM(H11:H50)</f>
        <v>13</v>
      </c>
    </row>
    <row r="55" spans="1:8" ht="15.75" thickBot="1" x14ac:dyDescent="0.3">
      <c r="B55" s="152"/>
      <c r="D55" s="2"/>
      <c r="G55" s="3"/>
    </row>
    <row r="56" spans="1:8" ht="19.5" thickBot="1" x14ac:dyDescent="0.35">
      <c r="A56" s="29" t="s">
        <v>133</v>
      </c>
      <c r="B56" s="155">
        <f>B54/B12</f>
        <v>2.3224662133142453</v>
      </c>
      <c r="C56" s="31"/>
      <c r="D56" s="196">
        <f>IF(H56=13,D54/D12,"")</f>
        <v>1.8648555118110235</v>
      </c>
      <c r="E56" s="111" t="s">
        <v>42</v>
      </c>
      <c r="F56" s="233" t="str">
        <f>IF(H56=13,"Les 13 cellules permettent de calculer le prix de vente","Une cellule JAUNE est manquante")</f>
        <v>Les 13 cellules permettent de calculer le prix de vente</v>
      </c>
      <c r="G56" s="234"/>
      <c r="H56" s="180">
        <f>SUM(H11:H50)</f>
        <v>13</v>
      </c>
    </row>
    <row r="59" spans="1:8" x14ac:dyDescent="0.25">
      <c r="D59" s="173"/>
    </row>
    <row r="60" spans="1:8" x14ac:dyDescent="0.25">
      <c r="D60" s="174"/>
    </row>
    <row r="61" spans="1:8" x14ac:dyDescent="0.25">
      <c r="D61" s="174"/>
    </row>
  </sheetData>
  <sheetProtection password="CC0A" sheet="1" objects="1" scenarios="1"/>
  <mergeCells count="9">
    <mergeCell ref="F56:G56"/>
    <mergeCell ref="E9:E10"/>
    <mergeCell ref="F9:F10"/>
    <mergeCell ref="G9:G10"/>
    <mergeCell ref="A9:A10"/>
    <mergeCell ref="D9:D10"/>
    <mergeCell ref="F52:G52"/>
    <mergeCell ref="F54:G54"/>
    <mergeCell ref="B9:B10"/>
  </mergeCells>
  <phoneticPr fontId="0" type="noConversion"/>
  <conditionalFormatting sqref="F48 F11:F13 F16 F19 F22 F28 F30 F38 F42:F43 F50">
    <cfRule type="cellIs" dxfId="43" priority="209" operator="equal">
      <formula>"Incorrect"</formula>
    </cfRule>
    <cfRule type="cellIs" dxfId="42" priority="210" operator="equal">
      <formula>"Correct"</formula>
    </cfRule>
  </conditionalFormatting>
  <conditionalFormatting sqref="F52:G52 F54:G54 F56:G56">
    <cfRule type="cellIs" dxfId="41" priority="77" operator="equal">
      <formula>"Les 12 cellules permettent de calculer le prix de vente"</formula>
    </cfRule>
    <cfRule type="containsText" dxfId="40" priority="78" operator="containsText" text="Une cellule ORANGE est manquante">
      <formula>NOT(ISERROR(SEARCH("Une cellule ORANGE est manquante",F52)))</formula>
    </cfRule>
  </conditionalFormatting>
  <conditionalFormatting sqref="F52:G52 F54:G54 F56:G56">
    <cfRule type="cellIs" dxfId="39" priority="75" operator="equal">
      <formula>"Les 12 cellules permettent de calculer le prix de vente"</formula>
    </cfRule>
    <cfRule type="containsText" dxfId="38" priority="76" operator="containsText" text="Une cellule ORANGE est manquante">
      <formula>NOT(ISERROR(SEARCH("Une cellule ORANGE est manquante",F52)))</formula>
    </cfRule>
  </conditionalFormatting>
  <conditionalFormatting sqref="F52:G52 F54:G54 F56:G56">
    <cfRule type="cellIs" dxfId="37" priority="73" operator="equal">
      <formula>"Les 12 cellules permettent de calculer le prix de vente"</formula>
    </cfRule>
    <cfRule type="containsText" dxfId="36" priority="74" operator="containsText" text="Une cellule ORANGE est manquante">
      <formula>NOT(ISERROR(SEARCH("Une cellule ORANGE est manquante",F52)))</formula>
    </cfRule>
  </conditionalFormatting>
  <conditionalFormatting sqref="F52:G52 F54:G54 F56:G56">
    <cfRule type="cellIs" dxfId="35" priority="41" operator="equal">
      <formula>"Les 13 cellules permettent de calculer le prix de vente"</formula>
    </cfRule>
    <cfRule type="containsText" dxfId="34" priority="42" operator="containsText" text="Une cellule ORANGE est manquante">
      <formula>NOT(ISERROR(SEARCH("Une cellule ORANGE est manquante",F52)))</formula>
    </cfRule>
  </conditionalFormatting>
  <conditionalFormatting sqref="F52:G52">
    <cfRule type="cellIs" dxfId="33" priority="23" operator="equal">
      <formula>"Les 12 cellules permettent de calculer le prix de vente"</formula>
    </cfRule>
    <cfRule type="containsText" dxfId="32" priority="24" operator="containsText" text="Une cellule JAUNE est manquante">
      <formula>NOT(ISERROR(SEARCH("Une cellule JAUNE est manquante",F52)))</formula>
    </cfRule>
  </conditionalFormatting>
  <conditionalFormatting sqref="F52:G52">
    <cfRule type="cellIs" dxfId="31" priority="21" operator="equal">
      <formula>"Les 12 cellules permettent de calculer le prix de vente"</formula>
    </cfRule>
    <cfRule type="containsText" dxfId="30" priority="22" operator="containsText" text="Une cellule JAUNE est manquante">
      <formula>NOT(ISERROR(SEARCH("Une cellule JAUNE est manquante",F52)))</formula>
    </cfRule>
  </conditionalFormatting>
  <conditionalFormatting sqref="F52:G52">
    <cfRule type="cellIs" dxfId="29" priority="19" operator="equal">
      <formula>"Les 12 cellules permettent de calculer le prix de vente"</formula>
    </cfRule>
    <cfRule type="containsText" dxfId="28" priority="20" operator="containsText" text="Une cellule JAUNE est manquante">
      <formula>NOT(ISERROR(SEARCH("Une cellule JAUNE est manquante",F52)))</formula>
    </cfRule>
  </conditionalFormatting>
  <conditionalFormatting sqref="F52:G52">
    <cfRule type="cellIs" dxfId="27" priority="17" operator="equal">
      <formula>"Les 13 cellules permettent de calculer le prix de vente"</formula>
    </cfRule>
    <cfRule type="containsText" dxfId="26" priority="18" operator="containsText" text="Une cellule JAUNE est manquante">
      <formula>NOT(ISERROR(SEARCH("Une cellule JAUNE est manquante",F52)))</formula>
    </cfRule>
  </conditionalFormatting>
  <conditionalFormatting sqref="F54:G54">
    <cfRule type="cellIs" dxfId="25" priority="15" operator="equal">
      <formula>"Les 12 cellules permettent de calculer le prix de vente"</formula>
    </cfRule>
    <cfRule type="containsText" dxfId="24" priority="16" operator="containsText" text="Une cellule JAUNE est manquante">
      <formula>NOT(ISERROR(SEARCH("Une cellule JAUNE est manquante",F54)))</formula>
    </cfRule>
  </conditionalFormatting>
  <conditionalFormatting sqref="F54:G54">
    <cfRule type="cellIs" dxfId="23" priority="13" operator="equal">
      <formula>"Les 12 cellules permettent de calculer le prix de vente"</formula>
    </cfRule>
    <cfRule type="containsText" dxfId="22" priority="14" operator="containsText" text="Une cellule JAUNE est manquante">
      <formula>NOT(ISERROR(SEARCH("Une cellule JAUNE est manquante",F54)))</formula>
    </cfRule>
  </conditionalFormatting>
  <conditionalFormatting sqref="F54:G54">
    <cfRule type="cellIs" dxfId="21" priority="11" operator="equal">
      <formula>"Les 12 cellules permettent de calculer le prix de vente"</formula>
    </cfRule>
    <cfRule type="containsText" dxfId="20" priority="12" operator="containsText" text="Une cellule JAUNE est manquante">
      <formula>NOT(ISERROR(SEARCH("Une cellule JAUNE est manquante",F54)))</formula>
    </cfRule>
  </conditionalFormatting>
  <conditionalFormatting sqref="F54:G54">
    <cfRule type="cellIs" dxfId="19" priority="9" operator="equal">
      <formula>"Les 13 cellules permettent de calculer le prix de vente"</formula>
    </cfRule>
    <cfRule type="containsText" dxfId="18" priority="10" operator="containsText" text="Une cellule JAUNE est manquante">
      <formula>NOT(ISERROR(SEARCH("Une cellule JAUNE est manquante",F54)))</formula>
    </cfRule>
  </conditionalFormatting>
  <conditionalFormatting sqref="F56:G56">
    <cfRule type="cellIs" dxfId="17" priority="7" operator="equal">
      <formula>"Les 12 cellules permettent de calculer le prix de vente"</formula>
    </cfRule>
    <cfRule type="containsText" dxfId="16" priority="8" operator="containsText" text="Une cellule JAUNE est manquante">
      <formula>NOT(ISERROR(SEARCH("Une cellule JAUNE est manquante",F56)))</formula>
    </cfRule>
  </conditionalFormatting>
  <conditionalFormatting sqref="F56:G56">
    <cfRule type="cellIs" dxfId="15" priority="5" operator="equal">
      <formula>"Les 12 cellules permettent de calculer le prix de vente"</formula>
    </cfRule>
    <cfRule type="containsText" dxfId="14" priority="6" operator="containsText" text="Une cellule JAUNE est manquante">
      <formula>NOT(ISERROR(SEARCH("Une cellule JAUNE est manquante",F56)))</formula>
    </cfRule>
  </conditionalFormatting>
  <conditionalFormatting sqref="F56:G56">
    <cfRule type="cellIs" dxfId="13" priority="3" operator="equal">
      <formula>"Les 12 cellules permettent de calculer le prix de vente"</formula>
    </cfRule>
    <cfRule type="containsText" dxfId="12" priority="4" operator="containsText" text="Une cellule JAUNE est manquante">
      <formula>NOT(ISERROR(SEARCH("Une cellule JAUNE est manquante",F56)))</formula>
    </cfRule>
  </conditionalFormatting>
  <conditionalFormatting sqref="F56:G56">
    <cfRule type="cellIs" dxfId="11" priority="1" operator="equal">
      <formula>"Les 13 cellules permettent de calculer le prix de vente"</formula>
    </cfRule>
    <cfRule type="containsText" dxfId="10" priority="2" operator="containsText" text="Une cellule JAUNE est manquante">
      <formula>NOT(ISERROR(SEARCH("Une cellule JAUNE est manquante",F56)))</formula>
    </cfRule>
  </conditionalFormatting>
  <pageMargins left="0.31496062992125984" right="0.35433070866141736" top="0.31496062992125984" bottom="0.23622047244094491" header="0.15748031496062992" footer="0.19685039370078741"/>
  <pageSetup scale="56" orientation="portrait" horizontalDpi="0" verticalDpi="0" r:id="rId1"/>
  <headerFooter>
    <oddHeader>&amp;C&amp;Z&amp;F</oddHeader>
  </headerFooter>
  <ignoredErrors>
    <ignoredError sqref="F12:F13 F16 F19 F22 F28 F30 F38 F42:F43 F4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2" zoomScaleNormal="100" workbookViewId="0">
      <selection activeCell="E47" sqref="E47"/>
    </sheetView>
  </sheetViews>
  <sheetFormatPr baseColWidth="10" defaultRowHeight="15" x14ac:dyDescent="0.25"/>
  <cols>
    <col min="1" max="1" width="47.5703125" customWidth="1"/>
    <col min="2" max="2" width="12.7109375" bestFit="1" customWidth="1"/>
    <col min="3" max="3" width="0.5703125" customWidth="1"/>
    <col min="4" max="4" width="15.85546875" customWidth="1"/>
    <col min="5" max="5" width="29.85546875" bestFit="1" customWidth="1"/>
    <col min="6" max="6" width="10.42578125" style="3" customWidth="1"/>
    <col min="7" max="7" width="57.5703125" bestFit="1" customWidth="1"/>
    <col min="8" max="8" width="3.140625" style="180" customWidth="1"/>
  </cols>
  <sheetData>
    <row r="1" spans="1:8" ht="26.25" x14ac:dyDescent="0.4">
      <c r="A1" s="1" t="s">
        <v>105</v>
      </c>
      <c r="B1" s="2"/>
      <c r="D1" s="2"/>
      <c r="G1" s="3"/>
    </row>
    <row r="2" spans="1:8" ht="12" customHeight="1" x14ac:dyDescent="0.25">
      <c r="A2" s="181" t="s">
        <v>112</v>
      </c>
      <c r="B2" s="2"/>
      <c r="D2" s="2"/>
      <c r="E2" s="5" t="s">
        <v>139</v>
      </c>
      <c r="G2" s="3"/>
    </row>
    <row r="3" spans="1:8" ht="12" customHeight="1" x14ac:dyDescent="0.25">
      <c r="A3" s="181"/>
      <c r="B3" s="2"/>
      <c r="D3" s="2"/>
      <c r="G3" s="3"/>
    </row>
    <row r="4" spans="1:8" ht="22.5" customHeight="1" x14ac:dyDescent="0.3">
      <c r="A4" s="19" t="s">
        <v>100</v>
      </c>
      <c r="B4" s="2"/>
      <c r="D4" s="2"/>
      <c r="G4" s="3"/>
    </row>
    <row r="5" spans="1:8" ht="19.5" customHeight="1" x14ac:dyDescent="0.3">
      <c r="A5" s="215" t="s">
        <v>137</v>
      </c>
      <c r="B5" s="5" t="s">
        <v>97</v>
      </c>
      <c r="D5" s="2"/>
      <c r="F5" s="156"/>
      <c r="G5" s="3"/>
    </row>
    <row r="6" spans="1:8" ht="18.75" x14ac:dyDescent="0.3">
      <c r="A6" s="134" t="s">
        <v>115</v>
      </c>
      <c r="B6" s="5" t="s">
        <v>98</v>
      </c>
      <c r="D6" s="2"/>
      <c r="F6" s="156"/>
      <c r="G6" s="3"/>
    </row>
    <row r="7" spans="1:8" ht="23.25" customHeight="1" x14ac:dyDescent="0.3">
      <c r="A7" s="117" t="s">
        <v>96</v>
      </c>
      <c r="B7" s="5" t="s">
        <v>99</v>
      </c>
      <c r="C7" s="110"/>
      <c r="D7" s="110"/>
      <c r="F7" s="156"/>
      <c r="G7" s="3"/>
    </row>
    <row r="8" spans="1:8" ht="13.5" customHeight="1" x14ac:dyDescent="0.25">
      <c r="B8" s="110"/>
      <c r="C8" s="110"/>
      <c r="D8" s="110"/>
      <c r="F8" s="156"/>
      <c r="G8" s="3"/>
    </row>
    <row r="9" spans="1:8" x14ac:dyDescent="0.25">
      <c r="A9" s="240" t="s">
        <v>1</v>
      </c>
      <c r="B9" s="243" t="s">
        <v>0</v>
      </c>
      <c r="C9" s="135"/>
      <c r="D9" s="242" t="s">
        <v>109</v>
      </c>
      <c r="E9" s="235" t="s">
        <v>2</v>
      </c>
      <c r="F9" s="235" t="s">
        <v>103</v>
      </c>
      <c r="G9" s="238" t="s">
        <v>3</v>
      </c>
    </row>
    <row r="10" spans="1:8" x14ac:dyDescent="0.25">
      <c r="A10" s="241"/>
      <c r="B10" s="244"/>
      <c r="C10" s="136"/>
      <c r="D10" s="236"/>
      <c r="E10" s="236"/>
      <c r="F10" s="237"/>
      <c r="G10" s="239"/>
    </row>
    <row r="11" spans="1:8" ht="15.75" x14ac:dyDescent="0.25">
      <c r="A11" s="160" t="s">
        <v>4</v>
      </c>
      <c r="B11" s="137">
        <v>41640</v>
      </c>
      <c r="C11" s="6"/>
      <c r="D11" s="219">
        <v>43009</v>
      </c>
      <c r="E11" s="111" t="s">
        <v>5</v>
      </c>
      <c r="F11" s="179" t="str">
        <f>IF(D11="","",IF(D11&lt;=43100,IF(D11&gt;=42005,"Correct","Incorrect"),"Incorrect"))</f>
        <v>Correct</v>
      </c>
      <c r="G11" s="111" t="s">
        <v>6</v>
      </c>
      <c r="H11" s="180">
        <f>IF(D11&lt;&gt;"",1,0)</f>
        <v>1</v>
      </c>
    </row>
    <row r="12" spans="1:8" ht="15.75" x14ac:dyDescent="0.25">
      <c r="A12" s="111" t="s">
        <v>95</v>
      </c>
      <c r="B12" s="138">
        <v>550</v>
      </c>
      <c r="C12" s="7"/>
      <c r="D12" s="220">
        <v>750</v>
      </c>
      <c r="E12" s="111" t="s">
        <v>7</v>
      </c>
      <c r="F12" s="179" t="str">
        <f>IF(D12="","",IF(D12&lt;=1500,IF(D12&gt;=300,"Correct","Incorrect"),"Incorrect"))</f>
        <v>Correct</v>
      </c>
      <c r="G12" s="112" t="s">
        <v>131</v>
      </c>
      <c r="H12" s="180">
        <f>IF(D12&lt;&gt;"",1,0)</f>
        <v>1</v>
      </c>
    </row>
    <row r="13" spans="1:8" ht="15.75" x14ac:dyDescent="0.25">
      <c r="A13" s="111" t="s">
        <v>8</v>
      </c>
      <c r="B13" s="139">
        <v>3</v>
      </c>
      <c r="C13" s="9"/>
      <c r="D13" s="221">
        <v>0</v>
      </c>
      <c r="E13" s="113" t="s">
        <v>9</v>
      </c>
      <c r="F13" s="179" t="str">
        <f>IF(D13="","",IF(D13&lt;=8,IF(D13&gt;=0,"Correct","Incorrect"),"Incorrect"))</f>
        <v>Correct</v>
      </c>
      <c r="G13" s="112" t="s">
        <v>10</v>
      </c>
      <c r="H13" s="180">
        <f>IF(D13&lt;&gt;"",1,0)</f>
        <v>1</v>
      </c>
    </row>
    <row r="14" spans="1:8" ht="15.75" x14ac:dyDescent="0.25">
      <c r="A14" s="111" t="s">
        <v>106</v>
      </c>
      <c r="B14" s="212">
        <v>1200</v>
      </c>
      <c r="C14" s="9"/>
      <c r="D14" s="222">
        <v>1672</v>
      </c>
      <c r="E14" s="113" t="s">
        <v>132</v>
      </c>
      <c r="F14" s="179" t="str">
        <f>IF(D14="","",IF(D14&lt;=3000,IF(D14&gt;=500,"Correct","Incorrect"),"Incorrect"))</f>
        <v>Correct</v>
      </c>
      <c r="G14" s="112" t="s">
        <v>108</v>
      </c>
      <c r="H14" s="180">
        <f>IF(D14&lt;&gt;"",1,0)</f>
        <v>1</v>
      </c>
    </row>
    <row r="15" spans="1:8" s="110" customFormat="1" ht="12" customHeight="1" x14ac:dyDescent="0.3">
      <c r="A15" s="121"/>
      <c r="B15" s="167"/>
      <c r="C15" s="168"/>
      <c r="D15" s="169"/>
      <c r="E15" s="170"/>
      <c r="F15" s="171"/>
      <c r="G15" s="172"/>
      <c r="H15" s="213"/>
    </row>
    <row r="16" spans="1:8" x14ac:dyDescent="0.25">
      <c r="A16" s="111" t="s">
        <v>11</v>
      </c>
      <c r="B16" s="141">
        <f>B12-(B12*B13/100)</f>
        <v>533.5</v>
      </c>
      <c r="C16" s="12"/>
      <c r="D16" s="11">
        <f>D12-(D12*D13/100)</f>
        <v>750</v>
      </c>
      <c r="E16" s="111" t="s">
        <v>7</v>
      </c>
      <c r="F16" s="115"/>
      <c r="G16" s="115"/>
    </row>
    <row r="17" spans="1:8" ht="15.75" x14ac:dyDescent="0.25">
      <c r="A17" s="111" t="s">
        <v>12</v>
      </c>
      <c r="B17" s="138">
        <v>1500</v>
      </c>
      <c r="C17" s="7"/>
      <c r="D17" s="220">
        <v>1500</v>
      </c>
      <c r="E17" s="111" t="s">
        <v>7</v>
      </c>
      <c r="F17" s="179" t="str">
        <f>IF(D17="","",IF(D17&lt;=2000,IF(D17&gt;=1000,"Correct","Incorrect"),"Incorrect"))</f>
        <v>Correct</v>
      </c>
      <c r="G17" s="112" t="s">
        <v>13</v>
      </c>
      <c r="H17" s="180">
        <f>IF(D17&lt;&gt;"",1,0)</f>
        <v>1</v>
      </c>
    </row>
    <row r="18" spans="1:8" ht="13.5" customHeight="1" x14ac:dyDescent="0.25">
      <c r="B18" s="140"/>
      <c r="D18" s="2"/>
      <c r="G18" s="3"/>
    </row>
    <row r="19" spans="1:8" x14ac:dyDescent="0.25">
      <c r="A19" s="111" t="s">
        <v>14</v>
      </c>
      <c r="B19" s="141">
        <f>B17-B16</f>
        <v>966.5</v>
      </c>
      <c r="C19" s="12"/>
      <c r="D19" s="11">
        <f>D17-D16</f>
        <v>750</v>
      </c>
      <c r="E19" s="111" t="s">
        <v>7</v>
      </c>
      <c r="F19" s="115"/>
      <c r="G19" s="111" t="s">
        <v>15</v>
      </c>
    </row>
    <row r="20" spans="1:8" ht="15.75" x14ac:dyDescent="0.25">
      <c r="A20" s="111" t="s">
        <v>16</v>
      </c>
      <c r="B20" s="139">
        <v>4</v>
      </c>
      <c r="C20" s="9"/>
      <c r="D20" s="221">
        <v>4</v>
      </c>
      <c r="E20" s="111" t="s">
        <v>17</v>
      </c>
      <c r="F20" s="179" t="str">
        <f>IF(D20="","",IF(D20&lt;=8,IF(D20&gt;=1,"Correct","Incorrect"),"Incorrect"))</f>
        <v>Correct</v>
      </c>
      <c r="G20" s="112" t="s">
        <v>18</v>
      </c>
      <c r="H20" s="180">
        <f>IF(D20&lt;&gt;"",1,0)</f>
        <v>1</v>
      </c>
    </row>
    <row r="21" spans="1:8" x14ac:dyDescent="0.25">
      <c r="A21" s="111" t="s">
        <v>19</v>
      </c>
      <c r="B21" s="142">
        <f>B19/B20</f>
        <v>241.625</v>
      </c>
      <c r="C21" s="14"/>
      <c r="D21" s="13">
        <f>D19/D20</f>
        <v>187.5</v>
      </c>
      <c r="E21" s="111" t="s">
        <v>20</v>
      </c>
      <c r="F21" s="115"/>
      <c r="G21" s="112" t="s">
        <v>21</v>
      </c>
    </row>
    <row r="22" spans="1:8" ht="13.5" customHeight="1" thickBot="1" x14ac:dyDescent="0.3">
      <c r="B22" s="143"/>
      <c r="C22" s="16"/>
      <c r="D22" s="15"/>
      <c r="G22" s="8"/>
    </row>
    <row r="23" spans="1:8" ht="19.5" thickBot="1" x14ac:dyDescent="0.35">
      <c r="A23" s="161" t="s">
        <v>101</v>
      </c>
      <c r="B23" s="162">
        <f>B21+B11</f>
        <v>41881.625</v>
      </c>
      <c r="C23" s="163"/>
      <c r="D23" s="162">
        <f>D21+D11</f>
        <v>43196.5</v>
      </c>
      <c r="E23" s="133">
        <f>D23</f>
        <v>43196.5</v>
      </c>
      <c r="F23" s="119"/>
      <c r="G23" s="112" t="s">
        <v>27</v>
      </c>
    </row>
    <row r="24" spans="1:8" ht="15" customHeight="1" x14ac:dyDescent="0.25">
      <c r="B24" s="144"/>
      <c r="C24" s="18"/>
      <c r="D24" s="17"/>
      <c r="G24" s="8"/>
    </row>
    <row r="25" spans="1:8" ht="18.75" x14ac:dyDescent="0.3">
      <c r="A25" s="4" t="s">
        <v>28</v>
      </c>
      <c r="B25" s="140"/>
      <c r="D25" s="2"/>
      <c r="G25" s="5"/>
    </row>
    <row r="26" spans="1:8" ht="15.75" x14ac:dyDescent="0.25">
      <c r="A26" s="160" t="s">
        <v>29</v>
      </c>
      <c r="B26" s="145">
        <v>1.5</v>
      </c>
      <c r="C26" s="20"/>
      <c r="D26" s="216">
        <v>1.2</v>
      </c>
      <c r="E26" s="113" t="s">
        <v>30</v>
      </c>
      <c r="F26" s="179" t="str">
        <f>IF(D26="","",IF(D26&lt;=3,IF(D26&gt;=0.5,"Correct","Incorrect"),"Incorrect"))</f>
        <v>Correct</v>
      </c>
      <c r="G26" s="112" t="s">
        <v>102</v>
      </c>
      <c r="H26" s="180">
        <f>IF(D26&lt;&gt;"",1,0)</f>
        <v>1</v>
      </c>
    </row>
    <row r="27" spans="1:8" x14ac:dyDescent="0.25">
      <c r="B27" s="140"/>
      <c r="D27" s="2"/>
      <c r="G27" s="3"/>
    </row>
    <row r="28" spans="1:8" ht="15.75" x14ac:dyDescent="0.25">
      <c r="A28" s="111" t="s">
        <v>31</v>
      </c>
      <c r="B28" s="146">
        <v>0</v>
      </c>
      <c r="C28" s="7"/>
      <c r="D28" s="216">
        <v>0.02</v>
      </c>
      <c r="E28" s="113" t="s">
        <v>30</v>
      </c>
      <c r="F28" s="179" t="str">
        <f>IF(D28="","",IF(D28&lt;=10,IF(D28&gt;=-10.8,"Correct","Incorrect"),"Incorrect"))</f>
        <v>Correct</v>
      </c>
      <c r="G28" s="112" t="s">
        <v>32</v>
      </c>
      <c r="H28" s="180">
        <f>IF(D28&lt;&gt;"",1,0)</f>
        <v>1</v>
      </c>
    </row>
    <row r="29" spans="1:8" x14ac:dyDescent="0.25">
      <c r="B29" s="140"/>
      <c r="D29" s="2"/>
      <c r="G29" s="3"/>
    </row>
    <row r="30" spans="1:8" x14ac:dyDescent="0.25">
      <c r="A30" s="164" t="s">
        <v>33</v>
      </c>
      <c r="B30" s="147">
        <f>B28+B26</f>
        <v>1.5</v>
      </c>
      <c r="C30" s="22"/>
      <c r="D30" s="147">
        <f>D28+D26</f>
        <v>1.22</v>
      </c>
      <c r="E30" s="113" t="s">
        <v>30</v>
      </c>
      <c r="F30" s="157"/>
      <c r="G30" s="115"/>
    </row>
    <row r="31" spans="1:8" x14ac:dyDescent="0.25">
      <c r="B31" s="140"/>
      <c r="D31" s="2"/>
      <c r="G31" s="3"/>
    </row>
    <row r="32" spans="1:8" ht="13.5" customHeight="1" x14ac:dyDescent="0.25">
      <c r="A32" s="165" t="s">
        <v>118</v>
      </c>
      <c r="B32" s="148">
        <v>0.63500000000000001</v>
      </c>
      <c r="C32" s="7"/>
      <c r="D32" s="148">
        <v>0.63500000000000001</v>
      </c>
      <c r="E32" s="114"/>
      <c r="F32" s="158"/>
      <c r="G32" s="111" t="s">
        <v>34</v>
      </c>
    </row>
    <row r="33" spans="1:8" x14ac:dyDescent="0.25">
      <c r="B33" s="140"/>
      <c r="D33" s="2"/>
      <c r="G33" s="3"/>
    </row>
    <row r="34" spans="1:8" x14ac:dyDescent="0.25">
      <c r="A34" s="164" t="s">
        <v>35</v>
      </c>
      <c r="B34" s="147">
        <f>B30/B32</f>
        <v>2.3622047244094486</v>
      </c>
      <c r="C34" s="22"/>
      <c r="D34" s="147">
        <f>D30/D32</f>
        <v>1.921259842519685</v>
      </c>
      <c r="E34" s="113" t="s">
        <v>117</v>
      </c>
      <c r="F34" s="157"/>
      <c r="G34" s="115"/>
    </row>
    <row r="35" spans="1:8" x14ac:dyDescent="0.25">
      <c r="B35" s="140"/>
      <c r="D35" s="2"/>
      <c r="G35" s="3"/>
    </row>
    <row r="36" spans="1:8" ht="30" x14ac:dyDescent="0.25">
      <c r="A36" s="111" t="s">
        <v>120</v>
      </c>
      <c r="B36" s="149">
        <v>1.1000000000000001</v>
      </c>
      <c r="C36" s="22"/>
      <c r="D36" s="217">
        <v>1.25</v>
      </c>
      <c r="E36" s="111" t="s">
        <v>134</v>
      </c>
      <c r="F36" s="179" t="str">
        <f>IF(D36="","",IF(D36&lt;=1.5,IF(D36&gt;=0.5,"Correct","Incorrect"),"Incorrect"))</f>
        <v>Correct</v>
      </c>
      <c r="G36" s="118" t="s">
        <v>36</v>
      </c>
      <c r="H36" s="180">
        <f>IF(D36&lt;&gt;"",1,0)</f>
        <v>1</v>
      </c>
    </row>
    <row r="37" spans="1:8" x14ac:dyDescent="0.25">
      <c r="B37" s="140"/>
      <c r="D37" s="2"/>
      <c r="G37" s="3"/>
    </row>
    <row r="38" spans="1:8" x14ac:dyDescent="0.25">
      <c r="A38" s="164" t="s">
        <v>37</v>
      </c>
      <c r="B38" s="147">
        <f>B34*B36</f>
        <v>2.5984251968503935</v>
      </c>
      <c r="C38" s="22"/>
      <c r="D38" s="21">
        <f>D34*D36</f>
        <v>2.401574803149606</v>
      </c>
      <c r="E38" s="113" t="s">
        <v>121</v>
      </c>
      <c r="F38" s="157"/>
      <c r="G38" s="115"/>
    </row>
    <row r="39" spans="1:8" x14ac:dyDescent="0.25">
      <c r="B39" s="140"/>
      <c r="D39" s="2"/>
      <c r="G39" s="3"/>
    </row>
    <row r="40" spans="1:8" ht="30" x14ac:dyDescent="0.25">
      <c r="A40" s="165" t="s">
        <v>116</v>
      </c>
      <c r="B40" s="138">
        <v>0.60499999999999998</v>
      </c>
      <c r="C40" s="23"/>
      <c r="D40" s="218">
        <v>0.60499999999999998</v>
      </c>
      <c r="E40" s="113" t="s">
        <v>9</v>
      </c>
      <c r="F40" s="179" t="str">
        <f>IF(D40="","",IF(D40&lt;=0.7,IF(D40&gt;=0.5,"Correct","Incorrect"),"Incorrect"))</f>
        <v>Correct</v>
      </c>
      <c r="G40" s="111" t="s">
        <v>119</v>
      </c>
      <c r="H40" s="180">
        <f>IF(D40&lt;&gt;"",1,0)</f>
        <v>1</v>
      </c>
    </row>
    <row r="41" spans="1:8" ht="30" x14ac:dyDescent="0.25">
      <c r="A41" s="165" t="s">
        <v>122</v>
      </c>
      <c r="B41" s="138">
        <v>0.57499999999999996</v>
      </c>
      <c r="C41" s="23"/>
      <c r="D41" s="218">
        <v>0.57499999999999996</v>
      </c>
      <c r="E41" s="113" t="s">
        <v>9</v>
      </c>
      <c r="F41" s="179" t="str">
        <f>IF(D41="","",IF(D41&lt;=0.7,IF(D41&gt;=0.5,"Correct","Incorrect"),"Incorrect"))</f>
        <v>Correct</v>
      </c>
      <c r="G41" s="111" t="s">
        <v>119</v>
      </c>
      <c r="H41" s="180">
        <f>IF(D41&lt;&gt;"",1,0)</f>
        <v>1</v>
      </c>
    </row>
    <row r="42" spans="1:8" x14ac:dyDescent="0.25">
      <c r="A42" s="111" t="s">
        <v>38</v>
      </c>
      <c r="B42" s="150">
        <f>B40/B41</f>
        <v>1.0521739130434784</v>
      </c>
      <c r="C42" s="25"/>
      <c r="D42" s="24">
        <f>D40/D41</f>
        <v>1.0521739130434784</v>
      </c>
      <c r="G42" s="3"/>
    </row>
    <row r="43" spans="1:8" x14ac:dyDescent="0.25">
      <c r="B43" s="140"/>
      <c r="D43" s="2"/>
      <c r="G43" s="3"/>
    </row>
    <row r="44" spans="1:8" x14ac:dyDescent="0.25">
      <c r="A44" s="164" t="s">
        <v>39</v>
      </c>
      <c r="B44" s="147">
        <f>B42*B38</f>
        <v>2.7339952071208491</v>
      </c>
      <c r="C44" s="22"/>
      <c r="D44" s="147">
        <f>D42*D38</f>
        <v>2.5268743580965425</v>
      </c>
      <c r="E44" s="113" t="s">
        <v>123</v>
      </c>
      <c r="F44" s="157"/>
      <c r="G44" s="115"/>
    </row>
    <row r="45" spans="1:8" x14ac:dyDescent="0.25">
      <c r="B45" s="140"/>
      <c r="D45" s="2"/>
      <c r="G45" s="3"/>
    </row>
    <row r="46" spans="1:8" ht="15.75" x14ac:dyDescent="0.25">
      <c r="A46" s="111" t="s">
        <v>40</v>
      </c>
      <c r="B46" s="138">
        <v>7.9600000000000004E-2</v>
      </c>
      <c r="C46" s="12"/>
      <c r="D46" s="216">
        <v>0.08</v>
      </c>
      <c r="E46" s="113" t="s">
        <v>128</v>
      </c>
      <c r="F46" s="179" t="str">
        <f>IF(D46="","",IF(D46&lt;=0.3,IF(D46&gt;=0.02,"Correct","Incorrect"),"Incorrect"))</f>
        <v>Correct</v>
      </c>
      <c r="G46" s="111" t="s">
        <v>126</v>
      </c>
      <c r="H46" s="180">
        <f>IF(D46&lt;&gt;"",1,0)</f>
        <v>1</v>
      </c>
    </row>
    <row r="47" spans="1:8" x14ac:dyDescent="0.25">
      <c r="B47" s="150">
        <f>(B46*B42)*-1</f>
        <v>-8.3753043478260888E-2</v>
      </c>
      <c r="C47" s="25"/>
      <c r="D47" s="24">
        <f>(D46*D42)*-1</f>
        <v>-8.417391304347828E-2</v>
      </c>
      <c r="E47" s="113" t="s">
        <v>129</v>
      </c>
      <c r="F47" s="157"/>
      <c r="G47" s="115"/>
    </row>
    <row r="48" spans="1:8" ht="15.75" x14ac:dyDescent="0.25">
      <c r="A48" s="214" t="s">
        <v>114</v>
      </c>
      <c r="B48" s="209">
        <v>0</v>
      </c>
      <c r="C48" s="12"/>
      <c r="D48" s="216">
        <v>5.0000000000000001E-3</v>
      </c>
      <c r="E48" s="113" t="s">
        <v>129</v>
      </c>
      <c r="F48" s="179" t="str">
        <f>IF(D48="","",IF(D48&lt;=0.9,IF(D48&gt;=-0.9,"Correct","Incorrect"),"Incorrect"))</f>
        <v>Correct</v>
      </c>
      <c r="G48" s="214" t="s">
        <v>138</v>
      </c>
      <c r="H48" s="180">
        <f>IF(D48&lt;&gt;"",1,0)</f>
        <v>1</v>
      </c>
    </row>
    <row r="49" spans="1:8" ht="22.5" customHeight="1" x14ac:dyDescent="0.25">
      <c r="B49" s="175"/>
      <c r="C49" s="120"/>
      <c r="D49" s="176"/>
      <c r="E49" s="166"/>
      <c r="F49" s="178"/>
      <c r="G49" s="28"/>
    </row>
    <row r="50" spans="1:8" x14ac:dyDescent="0.25">
      <c r="A50" s="164" t="s">
        <v>107</v>
      </c>
      <c r="B50" s="177">
        <f>B52*(B17*B41)</f>
        <v>2285.833866141732</v>
      </c>
      <c r="C50" s="22"/>
      <c r="D50" s="177">
        <f>D52*(D17*D41)</f>
        <v>2111.1416338582676</v>
      </c>
      <c r="E50" s="113" t="s">
        <v>132</v>
      </c>
      <c r="F50" s="157"/>
      <c r="G50" s="115"/>
    </row>
    <row r="51" spans="1:8" ht="9" customHeight="1" thickBot="1" x14ac:dyDescent="0.3">
      <c r="B51" s="151"/>
      <c r="C51" s="27"/>
      <c r="D51" s="26"/>
      <c r="E51" s="10"/>
      <c r="F51" s="159"/>
      <c r="G51" s="28"/>
    </row>
    <row r="52" spans="1:8" ht="19.5" thickBot="1" x14ac:dyDescent="0.35">
      <c r="A52" s="29" t="s">
        <v>104</v>
      </c>
      <c r="B52" s="153">
        <f>B47+B44</f>
        <v>2.6502421636425884</v>
      </c>
      <c r="C52" s="31"/>
      <c r="D52" s="30">
        <f>IF(H52=13,D44+D47+D48,"")</f>
        <v>2.4477004450530639</v>
      </c>
      <c r="E52" s="112" t="s">
        <v>127</v>
      </c>
      <c r="F52" s="233" t="str">
        <f>IF(H52=13,"Les 13 cellules permettent de calculer le prix de vente","Une cellule JAUNE est manquante")</f>
        <v>Les 13 cellules permettent de calculer le prix de vente</v>
      </c>
      <c r="G52" s="234"/>
      <c r="H52" s="180">
        <f>SUM(H11:H50)</f>
        <v>13</v>
      </c>
    </row>
    <row r="53" spans="1:8" ht="18" customHeight="1" thickBot="1" x14ac:dyDescent="0.3">
      <c r="B53" s="152"/>
      <c r="G53" s="3"/>
    </row>
    <row r="54" spans="1:8" ht="19.5" thickBot="1" x14ac:dyDescent="0.35">
      <c r="A54" s="29" t="s">
        <v>25</v>
      </c>
      <c r="B54" s="154">
        <f>B50-B14</f>
        <v>1085.833866141732</v>
      </c>
      <c r="C54" s="31"/>
      <c r="D54" s="32">
        <f>IF(H54=13,D50-D14,"")</f>
        <v>439.1416338582676</v>
      </c>
      <c r="E54" s="112" t="s">
        <v>132</v>
      </c>
      <c r="F54" s="233" t="str">
        <f>IF(H54=13,"Les 13 cellules permettent de calculer le prix de vente","Une cellule JAUNE est manquante")</f>
        <v>Les 13 cellules permettent de calculer le prix de vente</v>
      </c>
      <c r="G54" s="234"/>
      <c r="H54" s="180">
        <f>SUM(H11:H50)</f>
        <v>13</v>
      </c>
    </row>
    <row r="55" spans="1:8" ht="18.75" customHeight="1" thickBot="1" x14ac:dyDescent="0.3">
      <c r="B55" s="152"/>
      <c r="D55" s="2"/>
      <c r="G55" s="3"/>
    </row>
    <row r="56" spans="1:8" ht="19.5" thickBot="1" x14ac:dyDescent="0.35">
      <c r="A56" s="29" t="s">
        <v>22</v>
      </c>
      <c r="B56" s="155">
        <f>B54/B19</f>
        <v>1.123470114994032</v>
      </c>
      <c r="C56" s="31"/>
      <c r="D56" s="33">
        <f>IF(H54=13,D54/D19,"")</f>
        <v>0.58552217847769017</v>
      </c>
      <c r="E56" s="112" t="s">
        <v>23</v>
      </c>
      <c r="F56" s="233" t="str">
        <f>IF(H56=13,"Les 13 cellules permettent de calculer le prix de vente","Une cellule JAUNE est manquante")</f>
        <v>Les 13 cellules permettent de calculer le prix de vente</v>
      </c>
      <c r="G56" s="234"/>
      <c r="H56" s="180">
        <f>SUM(H11:H50)</f>
        <v>13</v>
      </c>
    </row>
  </sheetData>
  <sheetProtection password="CC0A" sheet="1" objects="1" scenarios="1"/>
  <mergeCells count="9">
    <mergeCell ref="F56:G56"/>
    <mergeCell ref="G9:G10"/>
    <mergeCell ref="F9:F10"/>
    <mergeCell ref="A9:A10"/>
    <mergeCell ref="B9:B10"/>
    <mergeCell ref="D9:D10"/>
    <mergeCell ref="E9:E10"/>
    <mergeCell ref="F52:G52"/>
    <mergeCell ref="F54:G54"/>
  </mergeCells>
  <phoneticPr fontId="0" type="noConversion"/>
  <conditionalFormatting sqref="F11:F14 F17 F20 F26 F28 F36 F40:F41 F46 F48">
    <cfRule type="cellIs" dxfId="9" priority="55" operator="equal">
      <formula>"Incorrect"</formula>
    </cfRule>
    <cfRule type="cellIs" dxfId="8" priority="56" operator="equal">
      <formula>"Correct"</formula>
    </cfRule>
  </conditionalFormatting>
  <conditionalFormatting sqref="F52:G52 F54:G54 F56:G56">
    <cfRule type="cellIs" dxfId="7" priority="23" operator="equal">
      <formula>"Les 12 cellules permettent de calculer le prix de vente"</formula>
    </cfRule>
    <cfRule type="containsText" dxfId="6" priority="24" operator="containsText" text="Une cellule JAUNE est manquante">
      <formula>NOT(ISERROR(SEARCH("Une cellule JAUNE est manquante",F52)))</formula>
    </cfRule>
  </conditionalFormatting>
  <conditionalFormatting sqref="F52:G52 F54:G54 F56:G56">
    <cfRule type="cellIs" dxfId="5" priority="21" operator="equal">
      <formula>"Les 12 cellules permettent de calculer le prix de vente"</formula>
    </cfRule>
    <cfRule type="containsText" dxfId="4" priority="22" operator="containsText" text="Une cellule JAUNE est manquante">
      <formula>NOT(ISERROR(SEARCH("Une cellule JAUNE est manquante",F52)))</formula>
    </cfRule>
  </conditionalFormatting>
  <conditionalFormatting sqref="F52:G52 F54:G54 F56:G56">
    <cfRule type="cellIs" dxfId="3" priority="19" operator="equal">
      <formula>"Les 12 cellules permettent de calculer le prix de vente"</formula>
    </cfRule>
    <cfRule type="containsText" dxfId="2" priority="20" operator="containsText" text="Une cellule JAUNE est manquante">
      <formula>NOT(ISERROR(SEARCH("Une cellule JAUNE est manquante",F52)))</formula>
    </cfRule>
  </conditionalFormatting>
  <conditionalFormatting sqref="F52:G52 F54:G54 F56:G56">
    <cfRule type="cellIs" dxfId="1" priority="17" operator="equal">
      <formula>"Les 13 cellules permettent de calculer le prix de vente"</formula>
    </cfRule>
    <cfRule type="containsText" dxfId="0" priority="18" operator="containsText" text="Une cellule JAUNE est manquante">
      <formula>NOT(ISERROR(SEARCH("Une cellule JAUNE est manquante",F52)))</formula>
    </cfRule>
  </conditionalFormatting>
  <printOptions headings="1" gridLines="1"/>
  <pageMargins left="0.23622047244094491" right="0.31496062992125984" top="0.31496062992125984" bottom="0.23622047244094491" header="0.15748031496062992" footer="0.15748031496062992"/>
  <pageSetup scale="55" orientation="portrait" r:id="rId1"/>
  <headerFooter>
    <oddHeader>&amp;C&amp;Z&amp;F</oddHeader>
  </headerFooter>
  <ignoredErrors>
    <ignoredError sqref="F12:F14 F17 F20 F26 F28 F36 F40:F41 F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Modele ASRA</vt:lpstr>
      <vt:lpstr>$US --&gt;$CAN</vt:lpstr>
      <vt:lpstr>Point mort VE</vt:lpstr>
      <vt:lpstr>Point mort coût production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Zuchoski, Daniel</cp:lastModifiedBy>
  <cp:lastPrinted>2014-11-20T16:54:41Z</cp:lastPrinted>
  <dcterms:created xsi:type="dcterms:W3CDTF">2014-08-21T15:28:30Z</dcterms:created>
  <dcterms:modified xsi:type="dcterms:W3CDTF">2017-10-05T17:15:23Z</dcterms:modified>
</cp:coreProperties>
</file>