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116" windowWidth="9720" windowHeight="6345" activeTab="0"/>
  </bookViews>
  <sheets>
    <sheet name="MAïS-GRAIN" sheetId="1" r:id="rId1"/>
    <sheet name="MAïS-GRAIN VENDU RÉCOLTE" sheetId="2" r:id="rId2"/>
    <sheet name="MAïS-GRAIN HUMIDE" sheetId="3" r:id="rId3"/>
    <sheet name="Semis direct vente durant_année" sheetId="4" r:id="rId4"/>
    <sheet name="Semis direct vente_récolte" sheetId="5" r:id="rId5"/>
    <sheet name="Billon" sheetId="6" r:id="rId6"/>
    <sheet name="Mais épi" sheetId="7" r:id="rId7"/>
  </sheets>
  <definedNames>
    <definedName name="_xlnm.Print_Area" localSheetId="5">'Billon'!$A$1:$H$50</definedName>
    <definedName name="_xlnm.Print_Area" localSheetId="6">'Mais épi'!$A$1:$H$49</definedName>
    <definedName name="_xlnm.Print_Area" localSheetId="0">'MAïS-GRAIN'!$A$1:$H$53</definedName>
    <definedName name="_xlnm.Print_Area" localSheetId="2">'MAïS-GRAIN HUMIDE'!$A$1:$H$49</definedName>
    <definedName name="_xlnm.Print_Area" localSheetId="1">'MAïS-GRAIN VENDU RÉCOLTE'!$A$1:$H$51</definedName>
    <definedName name="_xlnm.Print_Area" localSheetId="3">'Semis direct vente durant_année'!$A$1:$H$49</definedName>
    <definedName name="_xlnm.Print_Area" localSheetId="4">'Semis direct vente_récolte'!$A$1:$H$49</definedName>
  </definedNames>
  <calcPr fullCalcOnLoad="1"/>
</workbook>
</file>

<file path=xl/sharedStrings.xml><?xml version="1.0" encoding="utf-8"?>
<sst xmlns="http://schemas.openxmlformats.org/spreadsheetml/2006/main" count="454" uniqueCount="147">
  <si>
    <t xml:space="preserve">NOM DE LA FERME: </t>
  </si>
  <si>
    <t>Adapté par:</t>
  </si>
  <si>
    <t>ITEM</t>
  </si>
  <si>
    <t>QTÉ</t>
  </si>
  <si>
    <t>PRIX</t>
  </si>
  <si>
    <t>UNITÉ</t>
  </si>
  <si>
    <t>COÛTS</t>
  </si>
  <si>
    <t>DÉBOURS</t>
  </si>
  <si>
    <t>LE</t>
  </si>
  <si>
    <t>TOTAUX</t>
  </si>
  <si>
    <t>VÔTRE</t>
  </si>
  <si>
    <t>A-  PRODUITS</t>
  </si>
  <si>
    <t>Grain  86 %  m.s.  ( kg )</t>
  </si>
  <si>
    <t>B- DÉBOURS</t>
  </si>
  <si>
    <t>1- APPROVISIONNEMENTS:</t>
  </si>
  <si>
    <t>Fertilisants  ( 160-50-75 )</t>
  </si>
  <si>
    <t xml:space="preserve">        0-0-60</t>
  </si>
  <si>
    <t xml:space="preserve">        22-22-0  au nitrate</t>
  </si>
  <si>
    <t xml:space="preserve">        32-0-0  ( gal US )</t>
  </si>
  <si>
    <t>Pierre  à  chaux</t>
  </si>
  <si>
    <t xml:space="preserve">    FRONTIER (l)</t>
  </si>
  <si>
    <t xml:space="preserve">    MARKSMAN (l)</t>
  </si>
  <si>
    <t>2-  OPÉRATIONS CULTURALES</t>
  </si>
  <si>
    <t>À FORFAIT</t>
  </si>
  <si>
    <t>Coûts variables</t>
  </si>
  <si>
    <t xml:space="preserve">      Labour  ( loam )</t>
  </si>
  <si>
    <t xml:space="preserve">        Total</t>
  </si>
  <si>
    <t>3-  ENTREPOSAGE- MARKETING</t>
  </si>
  <si>
    <t xml:space="preserve">      Séchage ( 30 à 14 % )</t>
  </si>
  <si>
    <t xml:space="preserve">      Entreposage-aération</t>
  </si>
  <si>
    <t xml:space="preserve">   Transport hors ferme à forfait</t>
  </si>
  <si>
    <t xml:space="preserve">         Total</t>
  </si>
  <si>
    <t>4-  AUTRES FRAIS</t>
  </si>
  <si>
    <t xml:space="preserve">        Plan conjoint</t>
  </si>
  <si>
    <t xml:space="preserve">        Main-d'œuvre salariée</t>
  </si>
  <si>
    <t xml:space="preserve">        Intérêts marge crédit</t>
  </si>
  <si>
    <t xml:space="preserve">            Total</t>
  </si>
  <si>
    <t>MOIS</t>
  </si>
  <si>
    <t xml:space="preserve">           TOTAL  DÉBOURS</t>
  </si>
  <si>
    <t>C- MARGE SUR DÉBOURS    ( A - B )</t>
  </si>
  <si>
    <t>D- DÉBOURS     $ /tonne</t>
  </si>
  <si>
    <t>BUDGET  MAÏS-GRAIN  SEC VENDU  RÉCOLTE  HECTARE</t>
  </si>
  <si>
    <t>BUDGET  MAÏS-GRAIN  HUMIDE VENDU  RÉCOLTE L' HECTARE</t>
  </si>
  <si>
    <t xml:space="preserve"> la tonne</t>
  </si>
  <si>
    <t>,</t>
  </si>
  <si>
    <t>Pesticides  pré-levée   **</t>
  </si>
  <si>
    <t xml:space="preserve">    Total  **Si les vivaces ont été détruites l'année précédente</t>
  </si>
  <si>
    <t>C- MARGE PRODUITS SUR DÉBOURS    ( A - B )</t>
  </si>
  <si>
    <t xml:space="preserve">      Transport hors ferme </t>
  </si>
  <si>
    <t xml:space="preserve">        Location de la terre</t>
  </si>
  <si>
    <t xml:space="preserve">A-  PRODUITS    </t>
  </si>
  <si>
    <t xml:space="preserve">        Entretien de la terre et taxes foncières</t>
  </si>
  <si>
    <t xml:space="preserve">      Entrep.-aér. 505 t</t>
  </si>
  <si>
    <t xml:space="preserve">  Total  **Si les vivaces ont été détruites l'année précédente</t>
  </si>
  <si>
    <t xml:space="preserve">      Hersage lourd  (loam)</t>
  </si>
  <si>
    <t xml:space="preserve">      Épandage engrais  2 fois  (tracteur seul)</t>
  </si>
  <si>
    <t xml:space="preserve">      Pulvérisation   1 fois</t>
  </si>
  <si>
    <t xml:space="preserve">      Semoir  8 rangs</t>
  </si>
  <si>
    <t xml:space="preserve">      Sarclage    8 rangs   1 fois</t>
  </si>
  <si>
    <t xml:space="preserve">      Batteuse  8 rangs</t>
  </si>
  <si>
    <t xml:space="preserve">       Assur-récolte 85 %</t>
  </si>
  <si>
    <t>mois</t>
  </si>
  <si>
    <t xml:space="preserve">      Assur-récolte ind 85 %</t>
  </si>
  <si>
    <t>Grain 72 % m.s. *</t>
  </si>
  <si>
    <t>Grain  86 %  m.s. *</t>
  </si>
  <si>
    <t xml:space="preserve">      Wagon à grain   20 m³</t>
  </si>
  <si>
    <t xml:space="preserve">      Batteuse   8 rangs</t>
  </si>
  <si>
    <t>COÛT DE PRODUCTION</t>
  </si>
  <si>
    <t>Moins:</t>
  </si>
  <si>
    <t xml:space="preserve">   Compensation de l'ASRA</t>
  </si>
  <si>
    <t xml:space="preserve">   Vente de paille</t>
  </si>
  <si>
    <t>-------------</t>
  </si>
  <si>
    <t xml:space="preserve">       Total</t>
  </si>
  <si>
    <t>Rendement  en tonne l'hectare</t>
  </si>
  <si>
    <t>Guy Beauregard, agronome</t>
  </si>
  <si>
    <t xml:space="preserve">   MAIS GRAIN</t>
  </si>
  <si>
    <t>COÛT DE PRODUCTION DU MAIS GRAIN LA TONNE</t>
  </si>
  <si>
    <t>Coût de production  l'hectare</t>
  </si>
  <si>
    <t>Total des débours:</t>
  </si>
  <si>
    <t>COÛT DE PRODUCTION MOYEN MAIS GRAIN LA TONNE</t>
  </si>
  <si>
    <t>Nicolet,</t>
  </si>
  <si>
    <t xml:space="preserve">      Labour  (loam)</t>
  </si>
  <si>
    <t xml:space="preserve">      Semoir  8 rangs  semis direct</t>
  </si>
  <si>
    <t xml:space="preserve">D- COÛT MOYEN </t>
  </si>
  <si>
    <t xml:space="preserve">      Pulvérisation   1 passage</t>
  </si>
  <si>
    <t xml:space="preserve">      Wagon à ensilage 5,49 m</t>
  </si>
  <si>
    <t xml:space="preserve">      Fourragère  2 rangs</t>
  </si>
  <si>
    <t xml:space="preserve">     Souffleur</t>
  </si>
  <si>
    <t>Rendement  en tonne humide l'hectare</t>
  </si>
  <si>
    <t>MAIS GRAIN HUMIDE</t>
  </si>
  <si>
    <t>COÛT DE PRODUCTION MOYEN MAIS GRAIN HUMIDE  LA TONNE</t>
  </si>
  <si>
    <t>COÛT DE PRODUCTION DU MAIS GRAIN HUMIDE LA TONNE</t>
  </si>
  <si>
    <t xml:space="preserve">      Semoir à maïs  8 rangs et écrêtement</t>
  </si>
  <si>
    <t xml:space="preserve">      Billonnage    8 rangs   1 fois</t>
  </si>
  <si>
    <t xml:space="preserve">      Sarclage  8 rangs  + épandage engrais liquide</t>
  </si>
  <si>
    <t>COÛT DE PRODUCTION PARTIEL</t>
  </si>
  <si>
    <t>BUDGET  MAÏS-GRAIN  2007 L' HECTARE</t>
  </si>
  <si>
    <t>Semen. mod. génétiquement</t>
  </si>
  <si>
    <t>la tonne</t>
  </si>
  <si>
    <t xml:space="preserve">    Transport  champ-séchoir à forfait</t>
  </si>
  <si>
    <t xml:space="preserve">      Transport au champ: wagon à grain benne 20 m³</t>
  </si>
  <si>
    <t xml:space="preserve"> </t>
  </si>
  <si>
    <t xml:space="preserve">      Transport au champ: wagon à grain benne  20 m³</t>
  </si>
  <si>
    <t>BUDGET  MAÏS-GRAIN  SEMIS DIRECT 2007 L' HECTARE</t>
  </si>
  <si>
    <t xml:space="preserve">      Transport au champ: wagon à grain   20 m³</t>
  </si>
  <si>
    <t>BUDGET  MAÏS-GRAIN  SUR BILLONS 2007 L' HECTARE</t>
  </si>
  <si>
    <t>Semence mod. génétiquement</t>
  </si>
  <si>
    <t xml:space="preserve">      Transport  champ-séchoir à forfait</t>
  </si>
  <si>
    <t xml:space="preserve">      Transport champ-séchoir à forfait</t>
  </si>
  <si>
    <t>BUDGET  MAÏS ÉPI  HUMIDE 2007  L' HECTARE</t>
  </si>
  <si>
    <t xml:space="preserve">     Silo 16 x 50 en douves</t>
  </si>
  <si>
    <t>Entretien</t>
  </si>
  <si>
    <t>Frais variables la tonne</t>
  </si>
  <si>
    <t>Main-d'œuvre</t>
  </si>
  <si>
    <t>Assurances</t>
  </si>
  <si>
    <t>Gaz propane</t>
  </si>
  <si>
    <t>Électricité</t>
  </si>
  <si>
    <t>Total</t>
  </si>
  <si>
    <t>Réalisé par  D. Ruel, agronome, MAPAQ et G. Beauregard, agr., consultant</t>
  </si>
  <si>
    <t>Comp. ASRA estimée 2007-08</t>
  </si>
  <si>
    <t>Comp. ASRA estimée. 2007-08</t>
  </si>
  <si>
    <t xml:space="preserve">        Contribution ASRA estimée 2007-08</t>
  </si>
  <si>
    <t>Comp. ASRA prév. 2007-08</t>
  </si>
  <si>
    <t xml:space="preserve">        Cotisation ASRA  prél. 2007-08</t>
  </si>
  <si>
    <t xml:space="preserve">        Cotisation ASRA prév. 2007-08</t>
  </si>
  <si>
    <t>Réalisé par D. Ruel, agronome, MAPAQ et G. Beauregrard, agr., consultant</t>
  </si>
  <si>
    <t>Réalisé par D. Ruel, agronome MAPAQ et G. Beauregrad, agr., consultant</t>
  </si>
  <si>
    <t xml:space="preserve">      Séchage ( 28 à 14 % )</t>
  </si>
  <si>
    <t xml:space="preserve">      Séchage (28 à 14 % )</t>
  </si>
  <si>
    <t xml:space="preserve">      Transport du champ au séchoir</t>
  </si>
  <si>
    <r>
      <t xml:space="preserve">Total               </t>
    </r>
    <r>
      <rPr>
        <b/>
        <sz val="10"/>
        <rFont val="Arial"/>
        <family val="2"/>
      </rPr>
      <t xml:space="preserve"> *  Prix automne 2007  f.a.b ferme</t>
    </r>
  </si>
  <si>
    <t xml:space="preserve">         * Prix automne 2007 moins transport</t>
  </si>
  <si>
    <t>Grain  70 % m.s. *</t>
  </si>
  <si>
    <t xml:space="preserve">    régie conventionnelle</t>
  </si>
  <si>
    <t>Grain  86 %  m.s.  ( kg ) *</t>
  </si>
  <si>
    <t>f.a.b ferme</t>
  </si>
  <si>
    <r>
      <t xml:space="preserve">    Total  *</t>
    </r>
    <r>
      <rPr>
        <b/>
        <sz val="10"/>
        <rFont val="Arial"/>
        <family val="2"/>
      </rPr>
      <t xml:space="preserve"> Prix moyen automne 2007</t>
    </r>
  </si>
  <si>
    <t xml:space="preserve"> vendu tout au cours de l'année</t>
  </si>
  <si>
    <t xml:space="preserve">           vendu à la récolte</t>
  </si>
  <si>
    <t xml:space="preserve">      Cultivateur   (loam)</t>
  </si>
  <si>
    <t xml:space="preserve">        Entretien de la terre + taxes foncières </t>
  </si>
  <si>
    <t xml:space="preserve">      Cultivateur  (loam)</t>
  </si>
  <si>
    <t xml:space="preserve">      Sarclage  lourd  8 rangs   1 fois</t>
  </si>
  <si>
    <t xml:space="preserve">        Entretien de la terre + taxes foncières</t>
  </si>
  <si>
    <t xml:space="preserve">      Sarclage   lourd   8 rangs   1 fois</t>
  </si>
  <si>
    <t>(régie conventionnelle)</t>
  </si>
  <si>
    <t xml:space="preserve">         * Prix estimé automne 2007</t>
  </si>
</sst>
</file>

<file path=xl/styles.xml><?xml version="1.0" encoding="utf-8"?>
<styleSheet xmlns="http://schemas.openxmlformats.org/spreadsheetml/2006/main">
  <numFmts count="3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_-* #,##0.0\ &quot;$&quot;_-;\-* #,##0.0\ &quot;$&quot;_-;_-* &quot;-&quot;??\ &quot;$&quot;_-;_-@_-"/>
    <numFmt numFmtId="181" formatCode="_-* #,##0\ &quot;$&quot;_-;\-* #,##0\ &quot;$&quot;_-;_-* &quot;-&quot;??\ &quot;$&quot;_-;_-@_-"/>
    <numFmt numFmtId="182" formatCode="_-* #,##0.000\ &quot;$&quot;_-;\-* #,##0.000\ &quot;$&quot;_-;_-* &quot;-&quot;??\ &quot;$&quot;_-;_-@_-"/>
    <numFmt numFmtId="183" formatCode="_-* #,##0.0000\ &quot;$&quot;_-;\-* #,##0.0000\ &quot;$&quot;_-;_-* &quot;-&quot;??\ &quot;$&quot;_-;_-@_-"/>
    <numFmt numFmtId="184" formatCode="0.0%"/>
    <numFmt numFmtId="185" formatCode="0.0"/>
    <numFmt numFmtId="186" formatCode="0.000%"/>
    <numFmt numFmtId="187" formatCode="_ * #,##0.000_)\ _$_ ;_ * \(#,##0.000\)\ _$_ ;_ * &quot;-&quot;???_)\ _$_ ;_ @_ "/>
    <numFmt numFmtId="188" formatCode="0.000"/>
    <numFmt numFmtId="189" formatCode="0.0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78" fontId="0" fillId="0" borderId="0" xfId="17" applyAlignment="1">
      <alignment/>
    </xf>
    <xf numFmtId="178" fontId="0" fillId="0" borderId="0" xfId="0" applyNumberFormat="1" applyAlignment="1">
      <alignment/>
    </xf>
    <xf numFmtId="178" fontId="0" fillId="0" borderId="0" xfId="17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178" fontId="1" fillId="0" borderId="0" xfId="17" applyFont="1" applyAlignment="1">
      <alignment/>
    </xf>
    <xf numFmtId="0" fontId="4" fillId="0" borderId="0" xfId="0" applyFont="1" applyAlignment="1">
      <alignment/>
    </xf>
    <xf numFmtId="178" fontId="0" fillId="0" borderId="0" xfId="17" applyFont="1" applyAlignment="1">
      <alignment/>
    </xf>
    <xf numFmtId="178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4" fillId="0" borderId="0" xfId="0" applyFont="1" applyAlignment="1" quotePrefix="1">
      <alignment horizontal="left"/>
    </xf>
    <xf numFmtId="178" fontId="1" fillId="0" borderId="1" xfId="17" applyFont="1" applyBorder="1" applyAlignment="1">
      <alignment/>
    </xf>
    <xf numFmtId="178" fontId="1" fillId="0" borderId="0" xfId="17" applyFont="1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8" fontId="6" fillId="0" borderId="0" xfId="17" applyFont="1" applyAlignment="1">
      <alignment horizontal="centerContinuous"/>
    </xf>
    <xf numFmtId="14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178" fontId="0" fillId="0" borderId="0" xfId="17" applyFont="1" applyAlignment="1">
      <alignment/>
    </xf>
    <xf numFmtId="178" fontId="0" fillId="0" borderId="0" xfId="17" applyFont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178" fontId="7" fillId="0" borderId="0" xfId="17" applyFont="1" applyAlignment="1">
      <alignment horizontal="center"/>
    </xf>
    <xf numFmtId="0" fontId="7" fillId="0" borderId="0" xfId="0" applyFont="1" applyAlignment="1">
      <alignment horizontal="center"/>
    </xf>
    <xf numFmtId="186" fontId="0" fillId="0" borderId="0" xfId="19" applyNumberFormat="1" applyAlignment="1">
      <alignment horizontal="center"/>
    </xf>
    <xf numFmtId="178" fontId="0" fillId="0" borderId="0" xfId="17" applyFont="1" applyAlignment="1">
      <alignment horizontal="center"/>
    </xf>
    <xf numFmtId="2" fontId="0" fillId="0" borderId="0" xfId="0" applyNumberFormat="1" applyAlignment="1">
      <alignment horizontal="center"/>
    </xf>
    <xf numFmtId="43" fontId="0" fillId="0" borderId="0" xfId="17" applyNumberFormat="1" applyAlignment="1">
      <alignment/>
    </xf>
    <xf numFmtId="0" fontId="9" fillId="0" borderId="0" xfId="0" applyFont="1" applyAlignment="1">
      <alignment horizontal="center"/>
    </xf>
    <xf numFmtId="178" fontId="9" fillId="0" borderId="1" xfId="17" applyFont="1" applyBorder="1" applyAlignment="1">
      <alignment/>
    </xf>
    <xf numFmtId="10" fontId="0" fillId="0" borderId="0" xfId="19" applyNumberFormat="1" applyAlignment="1">
      <alignment/>
    </xf>
    <xf numFmtId="0" fontId="10" fillId="0" borderId="0" xfId="0" applyFont="1" applyAlignment="1">
      <alignment/>
    </xf>
    <xf numFmtId="178" fontId="10" fillId="0" borderId="0" xfId="0" applyNumberFormat="1" applyFont="1" applyAlignment="1">
      <alignment/>
    </xf>
    <xf numFmtId="0" fontId="1" fillId="0" borderId="0" xfId="0" applyFont="1" applyAlignment="1">
      <alignment/>
    </xf>
    <xf numFmtId="10" fontId="0" fillId="0" borderId="0" xfId="19" applyNumberFormat="1" applyAlignment="1">
      <alignment horizontal="center"/>
    </xf>
    <xf numFmtId="0" fontId="0" fillId="0" borderId="0" xfId="0" applyAlignment="1">
      <alignment horizontal="left"/>
    </xf>
    <xf numFmtId="178" fontId="1" fillId="0" borderId="0" xfId="17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178" fontId="0" fillId="0" borderId="0" xfId="17" applyFont="1" applyAlignment="1" quotePrefix="1">
      <alignment horizontal="center"/>
    </xf>
    <xf numFmtId="185" fontId="0" fillId="0" borderId="0" xfId="17" applyNumberFormat="1" applyAlignment="1">
      <alignment horizontal="center"/>
    </xf>
    <xf numFmtId="185" fontId="0" fillId="0" borderId="0" xfId="17" applyNumberFormat="1" applyFont="1" applyAlignment="1">
      <alignment horizontal="center"/>
    </xf>
    <xf numFmtId="178" fontId="10" fillId="0" borderId="0" xfId="17" applyFont="1" applyBorder="1" applyAlignment="1">
      <alignment/>
    </xf>
    <xf numFmtId="178" fontId="9" fillId="0" borderId="2" xfId="17" applyFont="1" applyBorder="1" applyAlignment="1">
      <alignment/>
    </xf>
    <xf numFmtId="14" fontId="0" fillId="0" borderId="0" xfId="0" applyNumberFormat="1" applyAlignment="1">
      <alignment/>
    </xf>
    <xf numFmtId="178" fontId="9" fillId="0" borderId="0" xfId="17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17" applyNumberFormat="1" applyAlignment="1">
      <alignment horizontal="center"/>
    </xf>
    <xf numFmtId="2" fontId="0" fillId="0" borderId="0" xfId="17" applyNumberFormat="1" applyAlignment="1">
      <alignment/>
    </xf>
    <xf numFmtId="2" fontId="0" fillId="0" borderId="0" xfId="17" applyNumberFormat="1" applyFont="1" applyAlignment="1">
      <alignment horizontal="center"/>
    </xf>
    <xf numFmtId="178" fontId="10" fillId="0" borderId="0" xfId="17" applyFont="1" applyBorder="1" applyAlignment="1">
      <alignment/>
    </xf>
    <xf numFmtId="178" fontId="9" fillId="0" borderId="2" xfId="17" applyFont="1" applyBorder="1" applyAlignment="1">
      <alignment/>
    </xf>
    <xf numFmtId="0" fontId="7" fillId="0" borderId="0" xfId="0" applyFont="1" applyAlignment="1">
      <alignment/>
    </xf>
    <xf numFmtId="184" fontId="0" fillId="0" borderId="0" xfId="19" applyNumberFormat="1" applyAlignment="1">
      <alignment horizontal="center"/>
    </xf>
    <xf numFmtId="171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L166"/>
  <sheetViews>
    <sheetView tabSelected="1" workbookViewId="0" topLeftCell="A1">
      <selection activeCell="A1" sqref="A1"/>
    </sheetView>
  </sheetViews>
  <sheetFormatPr defaultColWidth="11.421875" defaultRowHeight="12.75"/>
  <cols>
    <col min="3" max="3" width="8.00390625" style="0" customWidth="1"/>
    <col min="4" max="4" width="9.140625" style="0" customWidth="1"/>
    <col min="5" max="5" width="8.7109375" style="0" customWidth="1"/>
    <col min="6" max="6" width="11.8515625" style="0" customWidth="1"/>
    <col min="8" max="8" width="11.8515625" style="0" bestFit="1" customWidth="1"/>
  </cols>
  <sheetData>
    <row r="1" spans="1:7" ht="18" customHeight="1">
      <c r="A1" t="s">
        <v>101</v>
      </c>
      <c r="B1" s="2"/>
      <c r="C1" s="21" t="s">
        <v>96</v>
      </c>
      <c r="E1" s="2"/>
      <c r="F1" s="2"/>
      <c r="G1" s="2"/>
    </row>
    <row r="2" spans="2:7" ht="6.75" customHeight="1">
      <c r="B2" s="2"/>
      <c r="C2" s="21"/>
      <c r="E2" s="2"/>
      <c r="F2" s="2"/>
      <c r="G2" s="2"/>
    </row>
    <row r="3" spans="2:8" ht="16.5" customHeight="1">
      <c r="B3" s="9" t="s">
        <v>0</v>
      </c>
      <c r="D3" s="43" t="s">
        <v>145</v>
      </c>
      <c r="H3" s="28">
        <v>39414</v>
      </c>
    </row>
    <row r="4" ht="12.75">
      <c r="B4" s="10" t="s">
        <v>1</v>
      </c>
    </row>
    <row r="5" ht="12.75">
      <c r="B5" s="15" t="s">
        <v>118</v>
      </c>
    </row>
    <row r="6" spans="1:8" ht="21.75" customHeight="1">
      <c r="A6" s="16" t="s">
        <v>2</v>
      </c>
      <c r="B6" s="1"/>
      <c r="C6" s="16" t="s">
        <v>3</v>
      </c>
      <c r="D6" s="16" t="s">
        <v>4</v>
      </c>
      <c r="E6" s="16" t="s">
        <v>5</v>
      </c>
      <c r="F6" s="4" t="s">
        <v>6</v>
      </c>
      <c r="G6" s="16" t="s">
        <v>7</v>
      </c>
      <c r="H6" s="3" t="s">
        <v>8</v>
      </c>
    </row>
    <row r="7" spans="3:8" ht="15" customHeight="1">
      <c r="C7" s="1"/>
      <c r="D7" s="1"/>
      <c r="E7" s="1"/>
      <c r="F7" s="16" t="s">
        <v>9</v>
      </c>
      <c r="G7" s="1"/>
      <c r="H7" s="17" t="s">
        <v>10</v>
      </c>
    </row>
    <row r="8" spans="1:8" ht="14.25" customHeight="1">
      <c r="A8" s="9" t="s">
        <v>11</v>
      </c>
      <c r="C8" s="23"/>
      <c r="D8" s="1"/>
      <c r="E8" s="1"/>
      <c r="F8" s="3"/>
      <c r="G8" s="1"/>
      <c r="H8" s="4"/>
    </row>
    <row r="9" spans="1:8" ht="15">
      <c r="A9" s="8" t="s">
        <v>12</v>
      </c>
      <c r="B9" s="1"/>
      <c r="C9" s="40">
        <v>8800</v>
      </c>
      <c r="D9" s="7">
        <v>152</v>
      </c>
      <c r="E9" s="32">
        <v>1000</v>
      </c>
      <c r="F9" s="5">
        <v>1337.6</v>
      </c>
      <c r="G9" s="5">
        <f>+F9</f>
        <v>1337.6</v>
      </c>
      <c r="H9" s="7">
        <f>C9*D9/E9</f>
        <v>1337.6</v>
      </c>
    </row>
    <row r="10" spans="1:8" ht="12.75">
      <c r="A10" s="24" t="s">
        <v>120</v>
      </c>
      <c r="C10" s="32">
        <v>7900</v>
      </c>
      <c r="D10" s="7">
        <v>32.2</v>
      </c>
      <c r="E10" s="32">
        <v>1000</v>
      </c>
      <c r="F10" s="13">
        <v>254.37</v>
      </c>
      <c r="G10" s="5">
        <f>+F10</f>
        <v>254.37</v>
      </c>
      <c r="H10" s="5">
        <v>254.37</v>
      </c>
    </row>
    <row r="11" spans="1:8" ht="12.75">
      <c r="A11" t="s">
        <v>26</v>
      </c>
      <c r="D11" s="5">
        <f>SUM(D9:D10)</f>
        <v>184.2</v>
      </c>
      <c r="F11" s="5">
        <f>SUM(F9:F10)</f>
        <v>1591.9699999999998</v>
      </c>
      <c r="G11" s="5">
        <f>SUM(G9:G10)</f>
        <v>1591.9699999999998</v>
      </c>
      <c r="H11" s="5">
        <f>SUM(H9:H10)</f>
        <v>1591.9699999999998</v>
      </c>
    </row>
    <row r="12" spans="1:8" ht="18" customHeight="1">
      <c r="A12" s="9" t="s">
        <v>13</v>
      </c>
      <c r="F12" s="5"/>
      <c r="G12" s="5"/>
      <c r="H12" s="5"/>
    </row>
    <row r="13" spans="1:7" ht="12.75">
      <c r="A13" s="12" t="s">
        <v>14</v>
      </c>
      <c r="F13" s="5"/>
      <c r="G13" s="5"/>
    </row>
    <row r="14" spans="1:8" ht="13.5" customHeight="1">
      <c r="A14" s="65" t="s">
        <v>97</v>
      </c>
      <c r="C14">
        <v>80000</v>
      </c>
      <c r="D14" s="5">
        <v>155</v>
      </c>
      <c r="E14">
        <v>80000</v>
      </c>
      <c r="F14" s="5">
        <v>155</v>
      </c>
      <c r="G14" s="5">
        <f>+F14</f>
        <v>155</v>
      </c>
      <c r="H14" s="5">
        <f>C14*D14/E14</f>
        <v>155</v>
      </c>
    </row>
    <row r="15" spans="1:8" ht="12.75">
      <c r="A15" t="s">
        <v>15</v>
      </c>
      <c r="D15" s="5"/>
      <c r="F15" s="5"/>
      <c r="G15" s="5"/>
      <c r="H15" s="5"/>
    </row>
    <row r="16" spans="1:8" ht="12.75">
      <c r="A16" s="10" t="s">
        <v>16</v>
      </c>
      <c r="C16" s="32">
        <v>125</v>
      </c>
      <c r="D16" s="5">
        <v>422</v>
      </c>
      <c r="E16" s="32">
        <v>1000</v>
      </c>
      <c r="F16" s="5">
        <v>52.75</v>
      </c>
      <c r="G16" s="5">
        <f>+F16</f>
        <v>52.75</v>
      </c>
      <c r="H16" s="5">
        <f>C16*D16/E16</f>
        <v>52.75</v>
      </c>
    </row>
    <row r="17" spans="1:8" ht="12.75">
      <c r="A17" s="10" t="s">
        <v>17</v>
      </c>
      <c r="C17" s="32">
        <v>225</v>
      </c>
      <c r="D17" s="5">
        <v>509.5</v>
      </c>
      <c r="E17" s="32">
        <v>1000</v>
      </c>
      <c r="F17" s="5">
        <v>114.64</v>
      </c>
      <c r="G17" s="5">
        <f aca="true" t="shared" si="0" ref="G17:G22">+F17</f>
        <v>114.64</v>
      </c>
      <c r="H17" s="5">
        <f aca="true" t="shared" si="1" ref="H17:H22">C17*D17/E17</f>
        <v>114.6375</v>
      </c>
    </row>
    <row r="18" spans="1:9" ht="12.75">
      <c r="A18" s="10" t="s">
        <v>18</v>
      </c>
      <c r="C18" s="32">
        <v>68.5</v>
      </c>
      <c r="D18" s="5">
        <v>340</v>
      </c>
      <c r="E18" s="32">
        <v>200</v>
      </c>
      <c r="F18" s="5">
        <v>116.45</v>
      </c>
      <c r="G18" s="5">
        <f t="shared" si="0"/>
        <v>116.45</v>
      </c>
      <c r="H18" s="5">
        <f t="shared" si="1"/>
        <v>116.45</v>
      </c>
      <c r="I18" s="6">
        <f>H16+H17+H18</f>
        <v>283.8375</v>
      </c>
    </row>
    <row r="19" spans="1:8" ht="12.75">
      <c r="A19" t="s">
        <v>19</v>
      </c>
      <c r="C19" s="32">
        <v>0.5</v>
      </c>
      <c r="D19" s="5">
        <v>30</v>
      </c>
      <c r="E19" s="32">
        <v>1</v>
      </c>
      <c r="F19" s="5">
        <v>15</v>
      </c>
      <c r="G19" s="5">
        <f t="shared" si="0"/>
        <v>15</v>
      </c>
      <c r="H19" s="5">
        <f t="shared" si="1"/>
        <v>15</v>
      </c>
    </row>
    <row r="20" spans="1:8" ht="12.75">
      <c r="A20" s="10" t="s">
        <v>45</v>
      </c>
      <c r="C20" s="32"/>
      <c r="D20" s="5"/>
      <c r="E20" s="32"/>
      <c r="F20" s="5"/>
      <c r="G20" s="5">
        <f t="shared" si="0"/>
        <v>0</v>
      </c>
      <c r="H20" s="5"/>
    </row>
    <row r="21" spans="1:8" ht="12.75">
      <c r="A21" t="s">
        <v>20</v>
      </c>
      <c r="C21" s="32">
        <v>1.25</v>
      </c>
      <c r="D21" s="5">
        <v>44.8</v>
      </c>
      <c r="E21" s="32">
        <v>1</v>
      </c>
      <c r="F21" s="5">
        <v>56</v>
      </c>
      <c r="G21" s="5">
        <f t="shared" si="0"/>
        <v>56</v>
      </c>
      <c r="H21" s="5">
        <f t="shared" si="1"/>
        <v>56</v>
      </c>
    </row>
    <row r="22" spans="1:8" ht="12.75">
      <c r="A22" t="s">
        <v>21</v>
      </c>
      <c r="C22" s="32">
        <v>4.5</v>
      </c>
      <c r="D22" s="5">
        <v>119.49</v>
      </c>
      <c r="E22" s="32">
        <v>10</v>
      </c>
      <c r="F22" s="5">
        <v>53.77</v>
      </c>
      <c r="G22" s="5">
        <f t="shared" si="0"/>
        <v>53.77</v>
      </c>
      <c r="H22" s="5">
        <f t="shared" si="1"/>
        <v>53.77049999999999</v>
      </c>
    </row>
    <row r="23" spans="1:8" ht="12.75">
      <c r="A23" s="10" t="s">
        <v>53</v>
      </c>
      <c r="F23" s="30">
        <f>SUM(F14:F22)</f>
        <v>563.61</v>
      </c>
      <c r="G23" s="6">
        <f>+F23</f>
        <v>563.61</v>
      </c>
      <c r="H23" s="11">
        <f>SUM(H14:H22)</f>
        <v>563.608</v>
      </c>
    </row>
    <row r="24" spans="1:8" ht="18" customHeight="1">
      <c r="A24" s="12" t="s">
        <v>22</v>
      </c>
      <c r="F24" s="16" t="s">
        <v>23</v>
      </c>
      <c r="G24" s="29" t="s">
        <v>24</v>
      </c>
      <c r="H24" s="5"/>
    </row>
    <row r="25" spans="1:8" ht="13.5" customHeight="1">
      <c r="A25" s="10" t="s">
        <v>25</v>
      </c>
      <c r="F25" s="5">
        <v>71.08</v>
      </c>
      <c r="G25" s="5">
        <v>25.02</v>
      </c>
      <c r="H25" s="13">
        <f>+G25</f>
        <v>25.02</v>
      </c>
    </row>
    <row r="26" spans="1:8" ht="12.75">
      <c r="A26" t="s">
        <v>54</v>
      </c>
      <c r="F26" s="5">
        <v>16.83</v>
      </c>
      <c r="G26" s="5">
        <v>5.94</v>
      </c>
      <c r="H26" s="13">
        <f>+G26</f>
        <v>5.94</v>
      </c>
    </row>
    <row r="27" spans="1:8" ht="12.75">
      <c r="A27" t="s">
        <v>139</v>
      </c>
      <c r="F27" s="5">
        <v>13.38</v>
      </c>
      <c r="G27" s="5">
        <v>4.41</v>
      </c>
      <c r="H27" s="5">
        <f aca="true" t="shared" si="2" ref="H27:H33">+G27</f>
        <v>4.41</v>
      </c>
    </row>
    <row r="28" spans="1:8" ht="12.75">
      <c r="A28" s="10" t="s">
        <v>55</v>
      </c>
      <c r="F28" s="5">
        <f>3.81*2</f>
        <v>7.62</v>
      </c>
      <c r="G28" s="5">
        <f>0.73*2</f>
        <v>1.46</v>
      </c>
      <c r="H28" s="5">
        <f t="shared" si="2"/>
        <v>1.46</v>
      </c>
    </row>
    <row r="29" spans="1:8" ht="12.75">
      <c r="A29" s="10" t="s">
        <v>57</v>
      </c>
      <c r="F29" s="5">
        <v>39.28</v>
      </c>
      <c r="G29" s="5">
        <v>8.92</v>
      </c>
      <c r="H29" s="5">
        <f>+G29</f>
        <v>8.92</v>
      </c>
    </row>
    <row r="30" spans="1:8" ht="12.75">
      <c r="A30" s="10" t="s">
        <v>56</v>
      </c>
      <c r="F30" s="5">
        <v>11.77</v>
      </c>
      <c r="G30" s="5">
        <v>2.37</v>
      </c>
      <c r="H30" s="5">
        <f t="shared" si="2"/>
        <v>2.37</v>
      </c>
    </row>
    <row r="31" spans="1:8" ht="12.75">
      <c r="A31" t="s">
        <v>58</v>
      </c>
      <c r="F31" s="5">
        <v>20.24</v>
      </c>
      <c r="G31" s="5">
        <v>3.93</v>
      </c>
      <c r="H31" s="5">
        <f t="shared" si="2"/>
        <v>3.93</v>
      </c>
    </row>
    <row r="32" spans="1:8" ht="12.75">
      <c r="A32" t="s">
        <v>66</v>
      </c>
      <c r="F32" s="5">
        <v>74.5</v>
      </c>
      <c r="G32" s="5">
        <v>24.4</v>
      </c>
      <c r="H32" s="30">
        <f>+G32</f>
        <v>24.4</v>
      </c>
    </row>
    <row r="33" spans="1:8" ht="12.75">
      <c r="A33" t="s">
        <v>65</v>
      </c>
      <c r="F33" s="5">
        <v>28.01</v>
      </c>
      <c r="G33" s="5">
        <v>8.3</v>
      </c>
      <c r="H33" s="5">
        <f t="shared" si="2"/>
        <v>8.3</v>
      </c>
    </row>
    <row r="34" spans="1:8" ht="12.75">
      <c r="A34" t="s">
        <v>99</v>
      </c>
      <c r="D34" s="5">
        <v>6</v>
      </c>
      <c r="E34" t="s">
        <v>98</v>
      </c>
      <c r="F34" s="5">
        <f>D34*C9/1000</f>
        <v>52.8</v>
      </c>
      <c r="G34" s="5">
        <v>8.3</v>
      </c>
      <c r="H34" s="5">
        <v>8.3</v>
      </c>
    </row>
    <row r="35" spans="1:8" ht="14.25" customHeight="1">
      <c r="A35" t="s">
        <v>26</v>
      </c>
      <c r="F35" s="30">
        <f>SUM(F25:F34)</f>
        <v>335.51000000000005</v>
      </c>
      <c r="G35" s="30">
        <f>SUM(G25:G34)</f>
        <v>93.05</v>
      </c>
      <c r="H35" s="14">
        <f>SUM(H25:H34)</f>
        <v>93.05</v>
      </c>
    </row>
    <row r="36" spans="1:10" ht="13.5" customHeight="1">
      <c r="A36" s="12" t="s">
        <v>27</v>
      </c>
      <c r="J36" t="s">
        <v>112</v>
      </c>
    </row>
    <row r="37" spans="1:11" ht="12.75">
      <c r="A37" s="10" t="s">
        <v>127</v>
      </c>
      <c r="C37" s="32">
        <f>+C9</f>
        <v>8800</v>
      </c>
      <c r="D37" s="5">
        <f>+K42</f>
        <v>26.0082</v>
      </c>
      <c r="E37" s="32">
        <v>1000</v>
      </c>
      <c r="F37" s="5">
        <f>C37*I37/E37</f>
        <v>272.8</v>
      </c>
      <c r="G37" s="5">
        <v>228.87</v>
      </c>
      <c r="H37" s="5">
        <f>C37*D37/E37</f>
        <v>228.87215999999998</v>
      </c>
      <c r="I37" s="32">
        <v>31</v>
      </c>
      <c r="J37" t="s">
        <v>111</v>
      </c>
      <c r="K37" s="5">
        <v>1.16</v>
      </c>
    </row>
    <row r="38" spans="1:12" ht="12.75">
      <c r="A38" t="s">
        <v>52</v>
      </c>
      <c r="C38" s="32">
        <f>+C9</f>
        <v>8800</v>
      </c>
      <c r="D38" s="5">
        <v>1.3</v>
      </c>
      <c r="E38" s="32">
        <v>1000</v>
      </c>
      <c r="F38" s="5">
        <f>C38*I38/E38</f>
        <v>55.088</v>
      </c>
      <c r="G38" s="5">
        <v>11.44</v>
      </c>
      <c r="H38" s="5">
        <f>C38*D38/E38</f>
        <v>11.44</v>
      </c>
      <c r="I38" s="38">
        <v>6.26</v>
      </c>
      <c r="J38" t="s">
        <v>113</v>
      </c>
      <c r="K38" s="5">
        <v>0</v>
      </c>
      <c r="L38" s="13">
        <v>2.61</v>
      </c>
    </row>
    <row r="39" spans="1:12" ht="12.75">
      <c r="A39" s="25" t="s">
        <v>30</v>
      </c>
      <c r="C39" s="32">
        <f>C9</f>
        <v>8800</v>
      </c>
      <c r="D39" s="5">
        <v>9.5</v>
      </c>
      <c r="E39" s="32">
        <v>1000</v>
      </c>
      <c r="F39" s="5">
        <v>83.6</v>
      </c>
      <c r="G39" s="5">
        <v>83.6</v>
      </c>
      <c r="H39" s="5">
        <f>C39*D39/E39</f>
        <v>83.6</v>
      </c>
      <c r="I39" s="38"/>
      <c r="J39" t="s">
        <v>114</v>
      </c>
      <c r="K39" s="5">
        <v>0.45</v>
      </c>
      <c r="L39" s="67">
        <f>K37+K38+K39</f>
        <v>1.6099999999999999</v>
      </c>
    </row>
    <row r="40" spans="1:11" ht="12.75">
      <c r="A40" t="s">
        <v>33</v>
      </c>
      <c r="C40" s="32">
        <f>+C9</f>
        <v>8800</v>
      </c>
      <c r="D40" s="5">
        <f>0.85+0.45</f>
        <v>1.3</v>
      </c>
      <c r="E40" s="32">
        <v>1000</v>
      </c>
      <c r="F40" s="5">
        <v>11.44</v>
      </c>
      <c r="G40" s="5">
        <v>11.44</v>
      </c>
      <c r="H40" s="5">
        <f>C40*D40/E40</f>
        <v>11.44</v>
      </c>
      <c r="I40" s="22"/>
      <c r="J40" t="s">
        <v>115</v>
      </c>
      <c r="K40" s="5">
        <f>46.8*0.5</f>
        <v>23.4</v>
      </c>
    </row>
    <row r="41" spans="1:11" ht="12.75">
      <c r="A41" s="24" t="s">
        <v>31</v>
      </c>
      <c r="F41" s="6">
        <f>SUM(F37:F40)</f>
        <v>422.92800000000005</v>
      </c>
      <c r="G41" s="6">
        <f>SUM(G37:G40)</f>
        <v>335.34999999999997</v>
      </c>
      <c r="H41" s="6">
        <f>SUM(H37:H40)</f>
        <v>335.35215999999997</v>
      </c>
      <c r="J41" t="s">
        <v>116</v>
      </c>
      <c r="K41" s="5">
        <f>14.26*0.07</f>
        <v>0.9982000000000001</v>
      </c>
    </row>
    <row r="42" spans="1:11" ht="12.75">
      <c r="A42" s="18" t="s">
        <v>32</v>
      </c>
      <c r="J42" t="s">
        <v>117</v>
      </c>
      <c r="K42" s="6">
        <f>SUM(K37:K41)</f>
        <v>26.0082</v>
      </c>
    </row>
    <row r="43" spans="1:8" ht="12.75" customHeight="1">
      <c r="A43" t="s">
        <v>60</v>
      </c>
      <c r="C43" s="32">
        <f>C9</f>
        <v>8800</v>
      </c>
      <c r="D43" s="5">
        <v>174</v>
      </c>
      <c r="E43" s="42">
        <v>0.0328</v>
      </c>
      <c r="F43" s="5">
        <v>42.69</v>
      </c>
      <c r="G43" s="5">
        <f>+F43</f>
        <v>42.69</v>
      </c>
      <c r="H43" s="5">
        <f>C43/1000*0.85*D43*E43</f>
        <v>42.689856000000006</v>
      </c>
    </row>
    <row r="44" spans="1:8" ht="12.75">
      <c r="A44" t="s">
        <v>121</v>
      </c>
      <c r="D44" s="5"/>
      <c r="F44" s="5">
        <v>102.06</v>
      </c>
      <c r="G44" s="5">
        <f>+F44</f>
        <v>102.06</v>
      </c>
      <c r="H44" s="5">
        <v>102.06</v>
      </c>
    </row>
    <row r="45" spans="1:8" ht="12.75">
      <c r="A45" t="s">
        <v>34</v>
      </c>
      <c r="C45" s="32">
        <v>5</v>
      </c>
      <c r="D45" s="5">
        <v>14</v>
      </c>
      <c r="E45" s="32">
        <v>1</v>
      </c>
      <c r="F45" s="5">
        <v>0</v>
      </c>
      <c r="G45" s="5">
        <v>70</v>
      </c>
      <c r="H45" s="5">
        <f>C45*D45/E45</f>
        <v>70</v>
      </c>
    </row>
    <row r="46" spans="1:8" ht="12.75">
      <c r="A46" s="10" t="s">
        <v>49</v>
      </c>
      <c r="F46" s="13">
        <f>8000*0.03</f>
        <v>240</v>
      </c>
      <c r="G46" s="5">
        <v>0</v>
      </c>
      <c r="H46" s="5">
        <v>0</v>
      </c>
    </row>
    <row r="47" spans="1:8" ht="12.75">
      <c r="A47" s="10" t="s">
        <v>140</v>
      </c>
      <c r="F47" s="13">
        <f>8000*0.67925/100</f>
        <v>54.34</v>
      </c>
      <c r="G47" s="5">
        <f>+H47</f>
        <v>74</v>
      </c>
      <c r="H47" s="13">
        <f>8000*0.925/100</f>
        <v>74</v>
      </c>
    </row>
    <row r="48" spans="1:8" ht="12.75">
      <c r="A48" t="s">
        <v>35</v>
      </c>
      <c r="C48" s="22">
        <f>H23+H35+H41+SUM(H43:H47)</f>
        <v>1280.7600159999997</v>
      </c>
      <c r="D48" s="66">
        <v>0.075</v>
      </c>
      <c r="E48" s="32">
        <v>9</v>
      </c>
      <c r="F48" s="5">
        <v>72.04</v>
      </c>
      <c r="G48" s="5">
        <f>+F48</f>
        <v>72.04</v>
      </c>
      <c r="H48" s="5">
        <f>C48*D48*E48/12</f>
        <v>72.04275089999997</v>
      </c>
    </row>
    <row r="49" spans="1:8" ht="12.75">
      <c r="A49" t="s">
        <v>36</v>
      </c>
      <c r="E49" s="35" t="s">
        <v>61</v>
      </c>
      <c r="F49" s="5">
        <f>SUM(F43:F48)</f>
        <v>511.13000000000005</v>
      </c>
      <c r="G49" s="5">
        <f>SUM(G43:G48)</f>
        <v>360.79</v>
      </c>
      <c r="H49" s="5">
        <f>SUM(H43:H48)</f>
        <v>360.7926069</v>
      </c>
    </row>
    <row r="50" spans="6:8" ht="5.25" customHeight="1">
      <c r="F50" s="5"/>
      <c r="G50" s="5"/>
      <c r="H50" s="5"/>
    </row>
    <row r="51" spans="1:8" ht="12.75">
      <c r="A51" s="10" t="s">
        <v>38</v>
      </c>
      <c r="F51" s="5">
        <f>F23+F35+F41+F49</f>
        <v>1833.1780000000003</v>
      </c>
      <c r="G51" s="5">
        <f>G23+G35+G41+G49</f>
        <v>1352.8</v>
      </c>
      <c r="H51" s="5">
        <f>H23+H35+H41+H49</f>
        <v>1352.8027668999998</v>
      </c>
    </row>
    <row r="52" spans="1:8" ht="15">
      <c r="A52" s="9" t="s">
        <v>47</v>
      </c>
      <c r="F52" s="31">
        <f>F11-F51</f>
        <v>-241.20800000000054</v>
      </c>
      <c r="G52" s="31">
        <f>G11-G51</f>
        <v>239.16999999999985</v>
      </c>
      <c r="H52" s="41">
        <f>H11-H51</f>
        <v>239.16723309999998</v>
      </c>
    </row>
    <row r="53" spans="1:8" ht="15" customHeight="1">
      <c r="A53" t="s">
        <v>40</v>
      </c>
      <c r="F53" s="5"/>
      <c r="G53" s="5"/>
      <c r="H53" s="5">
        <f>H51/(C9/1000)</f>
        <v>153.72758714772723</v>
      </c>
    </row>
    <row r="54" spans="6:8" ht="12.75">
      <c r="F54" s="5"/>
      <c r="G54" s="5"/>
      <c r="H54" s="5"/>
    </row>
    <row r="55" spans="6:8" ht="12.75">
      <c r="F55" s="5"/>
      <c r="G55" s="5"/>
      <c r="H55" s="5"/>
    </row>
    <row r="56" spans="1:8" ht="15.75">
      <c r="A56" s="70" t="s">
        <v>95</v>
      </c>
      <c r="B56" s="70"/>
      <c r="C56" s="70"/>
      <c r="D56" s="70"/>
      <c r="E56" s="70"/>
      <c r="F56" s="70"/>
      <c r="G56" s="70"/>
      <c r="H56" s="70"/>
    </row>
    <row r="57" spans="6:8" ht="8.25" customHeight="1">
      <c r="F57" s="5"/>
      <c r="G57" s="5"/>
      <c r="H57" s="5"/>
    </row>
    <row r="58" spans="4:8" ht="15.75">
      <c r="D58" s="50" t="s">
        <v>75</v>
      </c>
      <c r="F58" s="5"/>
      <c r="G58" s="5"/>
      <c r="H58" s="5"/>
    </row>
    <row r="59" spans="4:8" ht="15.75">
      <c r="D59" s="50"/>
      <c r="F59" s="5"/>
      <c r="G59" s="5"/>
      <c r="H59" s="5"/>
    </row>
    <row r="60" spans="6:8" ht="12.75">
      <c r="F60" s="5"/>
      <c r="G60" s="5"/>
      <c r="H60" s="5"/>
    </row>
    <row r="61" spans="1:8" ht="12.75">
      <c r="A61" t="s">
        <v>78</v>
      </c>
      <c r="F61" s="5">
        <f>+F51</f>
        <v>1833.1780000000003</v>
      </c>
      <c r="G61" s="5"/>
      <c r="H61" s="5">
        <f>+H51</f>
        <v>1352.8027668999998</v>
      </c>
    </row>
    <row r="62" spans="6:8" ht="12.75">
      <c r="F62" s="5"/>
      <c r="G62" s="5"/>
      <c r="H62" s="5"/>
    </row>
    <row r="63" spans="1:8" ht="12.75">
      <c r="A63" t="s">
        <v>68</v>
      </c>
      <c r="F63" s="5"/>
      <c r="G63" s="5"/>
      <c r="H63" s="5"/>
    </row>
    <row r="64" spans="1:8" ht="12.75">
      <c r="A64" t="s">
        <v>69</v>
      </c>
      <c r="F64" s="5">
        <f>+F10</f>
        <v>254.37</v>
      </c>
      <c r="H64" s="5">
        <f>+H10</f>
        <v>254.37</v>
      </c>
    </row>
    <row r="65" spans="1:8" ht="12.75">
      <c r="A65" t="s">
        <v>70</v>
      </c>
      <c r="F65" s="5">
        <v>0</v>
      </c>
      <c r="H65" s="5">
        <v>0</v>
      </c>
    </row>
    <row r="66" spans="6:8" ht="12.75">
      <c r="F66" s="51" t="s">
        <v>71</v>
      </c>
      <c r="H66" s="51" t="s">
        <v>71</v>
      </c>
    </row>
    <row r="67" spans="1:8" ht="12.75">
      <c r="A67" t="s">
        <v>72</v>
      </c>
      <c r="F67" s="5">
        <f>F64+F65</f>
        <v>254.37</v>
      </c>
      <c r="G67" s="5"/>
      <c r="H67" s="5">
        <f>H64+H65</f>
        <v>254.37</v>
      </c>
    </row>
    <row r="68" spans="6:8" ht="12.75">
      <c r="F68" s="5"/>
      <c r="G68" s="5"/>
      <c r="H68" s="5"/>
    </row>
    <row r="70" spans="6:8" ht="12.75">
      <c r="F70" s="5"/>
      <c r="G70" s="5"/>
      <c r="H70" s="52"/>
    </row>
    <row r="71" spans="1:8" ht="12.75">
      <c r="A71" t="s">
        <v>77</v>
      </c>
      <c r="F71" s="5">
        <f>F61-F67</f>
        <v>1578.8080000000004</v>
      </c>
      <c r="G71" s="5"/>
      <c r="H71" s="7">
        <f>H61-H67</f>
        <v>1098.4327669</v>
      </c>
    </row>
    <row r="72" spans="6:8" ht="12.75">
      <c r="F72" s="5"/>
      <c r="G72" s="5"/>
      <c r="H72" s="52"/>
    </row>
    <row r="73" spans="1:8" ht="12.75">
      <c r="A73" t="s">
        <v>73</v>
      </c>
      <c r="F73" s="52">
        <f>+C9/1000</f>
        <v>8.8</v>
      </c>
      <c r="G73" s="5"/>
      <c r="H73" s="53">
        <f>+C9/1000</f>
        <v>8.8</v>
      </c>
    </row>
    <row r="74" spans="6:8" ht="12.75">
      <c r="F74" s="5"/>
      <c r="G74" s="5"/>
      <c r="H74" s="52"/>
    </row>
    <row r="75" spans="1:8" ht="14.25">
      <c r="A75" t="s">
        <v>76</v>
      </c>
      <c r="F75" s="5">
        <f>F71/F73</f>
        <v>179.41000000000003</v>
      </c>
      <c r="G75" s="5"/>
      <c r="H75" s="54">
        <f>H71/H73</f>
        <v>124.82190532954543</v>
      </c>
    </row>
    <row r="76" ht="13.5" thickBot="1"/>
    <row r="77" spans="1:7" ht="16.5" thickBot="1" thickTop="1">
      <c r="A77" t="s">
        <v>79</v>
      </c>
      <c r="G77" s="55">
        <f>(H75+F75)/2</f>
        <v>152.11595266477272</v>
      </c>
    </row>
    <row r="78" ht="13.5" thickTop="1"/>
    <row r="81" spans="1:7" ht="12.75">
      <c r="A81" t="s">
        <v>80</v>
      </c>
      <c r="B81" s="56">
        <f>+H3</f>
        <v>39414</v>
      </c>
      <c r="G81" t="s">
        <v>74</v>
      </c>
    </row>
    <row r="83" spans="6:8" ht="12.75">
      <c r="F83" s="5"/>
      <c r="G83" s="5"/>
      <c r="H83" s="5"/>
    </row>
    <row r="84" spans="6:8" ht="12.75">
      <c r="F84" s="5"/>
      <c r="G84" s="5"/>
      <c r="H84" s="5"/>
    </row>
    <row r="85" spans="6:8" ht="12.75">
      <c r="F85" s="5"/>
      <c r="G85" s="5"/>
      <c r="H85" s="5"/>
    </row>
    <row r="86" spans="6:8" ht="12.75">
      <c r="F86" s="5"/>
      <c r="G86" s="5"/>
      <c r="H86" s="5"/>
    </row>
    <row r="87" spans="6:8" ht="12.75">
      <c r="F87" s="5"/>
      <c r="G87" s="5"/>
      <c r="H87" s="5"/>
    </row>
    <row r="88" spans="6:8" ht="12.75">
      <c r="F88" s="5"/>
      <c r="G88" s="5"/>
      <c r="H88" s="5"/>
    </row>
    <row r="89" spans="6:8" ht="12.75">
      <c r="F89" s="5"/>
      <c r="G89" s="5"/>
      <c r="H89" s="5"/>
    </row>
    <row r="90" spans="6:8" ht="12.75">
      <c r="F90" s="5"/>
      <c r="G90" s="5"/>
      <c r="H90" s="5"/>
    </row>
    <row r="91" spans="6:8" ht="12.75">
      <c r="F91" s="5"/>
      <c r="G91" s="5"/>
      <c r="H91" s="5"/>
    </row>
    <row r="92" spans="6:8" ht="12.75">
      <c r="F92" s="5"/>
      <c r="G92" s="5"/>
      <c r="H92" s="5"/>
    </row>
    <row r="93" spans="6:8" ht="12.75">
      <c r="F93" s="5"/>
      <c r="G93" s="5"/>
      <c r="H93" s="5"/>
    </row>
    <row r="94" spans="6:8" ht="12.75">
      <c r="F94" s="5"/>
      <c r="G94" s="5"/>
      <c r="H94" s="5"/>
    </row>
    <row r="95" spans="6:8" ht="12.75">
      <c r="F95" s="5"/>
      <c r="G95" s="5"/>
      <c r="H95" s="5"/>
    </row>
    <row r="96" spans="6:8" ht="12.75">
      <c r="F96" s="5"/>
      <c r="G96" s="5"/>
      <c r="H96" s="5"/>
    </row>
    <row r="97" spans="6:8" ht="12.75">
      <c r="F97" s="5"/>
      <c r="G97" s="5"/>
      <c r="H97" s="5"/>
    </row>
    <row r="98" spans="6:8" ht="12.75">
      <c r="F98" s="5"/>
      <c r="G98" s="5"/>
      <c r="H98" s="5"/>
    </row>
    <row r="99" spans="6:8" ht="12.75">
      <c r="F99" s="5"/>
      <c r="G99" s="5"/>
      <c r="H99" s="5"/>
    </row>
    <row r="100" spans="6:8" ht="12.75">
      <c r="F100" s="5"/>
      <c r="G100" s="5"/>
      <c r="H100" s="5"/>
    </row>
    <row r="101" spans="6:8" ht="12.75">
      <c r="F101" s="5"/>
      <c r="G101" s="5"/>
      <c r="H101" s="5"/>
    </row>
    <row r="102" spans="6:8" ht="12.75">
      <c r="F102" s="5"/>
      <c r="G102" s="5"/>
      <c r="H102" s="5"/>
    </row>
    <row r="103" spans="6:8" ht="12.75">
      <c r="F103" s="5"/>
      <c r="G103" s="5"/>
      <c r="H103" s="5"/>
    </row>
    <row r="104" spans="6:8" ht="12.75">
      <c r="F104" s="5"/>
      <c r="G104" s="5"/>
      <c r="H104" s="5"/>
    </row>
    <row r="105" spans="6:8" ht="12.75">
      <c r="F105" s="5"/>
      <c r="G105" s="5"/>
      <c r="H105" s="5"/>
    </row>
    <row r="106" spans="6:8" ht="12.75">
      <c r="F106" s="5"/>
      <c r="G106" s="5"/>
      <c r="H106" s="5"/>
    </row>
    <row r="107" spans="6:8" ht="12.75">
      <c r="F107" s="5"/>
      <c r="G107" s="5"/>
      <c r="H107" s="5"/>
    </row>
    <row r="108" spans="6:8" ht="12.75">
      <c r="F108" s="5"/>
      <c r="G108" s="5"/>
      <c r="H108" s="5"/>
    </row>
    <row r="109" spans="6:8" ht="12.75">
      <c r="F109" s="5"/>
      <c r="G109" s="5"/>
      <c r="H109" s="5"/>
    </row>
    <row r="110" spans="6:8" ht="12.75">
      <c r="F110" s="5"/>
      <c r="G110" s="5"/>
      <c r="H110" s="5"/>
    </row>
    <row r="111" spans="6:8" ht="12.75">
      <c r="F111" s="5"/>
      <c r="G111" s="5"/>
      <c r="H111" s="5"/>
    </row>
    <row r="112" spans="6:8" ht="12.75">
      <c r="F112" s="5"/>
      <c r="G112" s="5"/>
      <c r="H112" s="5"/>
    </row>
    <row r="113" spans="6:8" ht="12.75">
      <c r="F113" s="5"/>
      <c r="G113" s="5"/>
      <c r="H113" s="5"/>
    </row>
    <row r="114" spans="6:8" ht="12.75">
      <c r="F114" s="5"/>
      <c r="G114" s="5"/>
      <c r="H114" s="5"/>
    </row>
    <row r="115" spans="6:8" ht="12.75">
      <c r="F115" s="5"/>
      <c r="G115" s="5"/>
      <c r="H115" s="5"/>
    </row>
    <row r="116" spans="6:8" ht="12.75">
      <c r="F116" s="5"/>
      <c r="G116" s="5"/>
      <c r="H116" s="5"/>
    </row>
    <row r="117" spans="6:8" ht="12.75">
      <c r="F117" s="5"/>
      <c r="G117" s="5"/>
      <c r="H117" s="5"/>
    </row>
    <row r="118" spans="6:8" ht="12.75">
      <c r="F118" s="5"/>
      <c r="G118" s="5"/>
      <c r="H118" s="5"/>
    </row>
    <row r="119" spans="6:8" ht="12.75">
      <c r="F119" s="5"/>
      <c r="G119" s="5"/>
      <c r="H119" s="5"/>
    </row>
    <row r="120" spans="6:8" ht="12.75">
      <c r="F120" s="5"/>
      <c r="G120" s="5"/>
      <c r="H120" s="5"/>
    </row>
    <row r="121" spans="6:8" ht="12.75">
      <c r="F121" s="5"/>
      <c r="G121" s="5"/>
      <c r="H121" s="5"/>
    </row>
    <row r="122" spans="6:8" ht="12.75">
      <c r="F122" s="5"/>
      <c r="G122" s="5"/>
      <c r="H122" s="5"/>
    </row>
    <row r="123" spans="6:8" ht="12.75">
      <c r="F123" s="5"/>
      <c r="G123" s="5"/>
      <c r="H123" s="5"/>
    </row>
    <row r="124" spans="6:8" ht="12.75">
      <c r="F124" s="5"/>
      <c r="G124" s="5"/>
      <c r="H124" s="5"/>
    </row>
    <row r="125" spans="6:8" ht="12.75">
      <c r="F125" s="5"/>
      <c r="G125" s="5"/>
      <c r="H125" s="5"/>
    </row>
    <row r="126" spans="6:8" ht="12.75">
      <c r="F126" s="5"/>
      <c r="G126" s="5"/>
      <c r="H126" s="5"/>
    </row>
    <row r="127" spans="6:8" ht="12.75">
      <c r="F127" s="5"/>
      <c r="G127" s="5"/>
      <c r="H127" s="5"/>
    </row>
    <row r="128" spans="6:8" ht="12.75">
      <c r="F128" s="5"/>
      <c r="G128" s="5"/>
      <c r="H128" s="5"/>
    </row>
    <row r="129" spans="6:8" ht="12.75">
      <c r="F129" s="5"/>
      <c r="G129" s="5"/>
      <c r="H129" s="5"/>
    </row>
    <row r="130" spans="6:8" ht="12.75">
      <c r="F130" s="5"/>
      <c r="G130" s="5"/>
      <c r="H130" s="5"/>
    </row>
    <row r="131" spans="6:8" ht="12.75">
      <c r="F131" s="5"/>
      <c r="G131" s="5"/>
      <c r="H131" s="5"/>
    </row>
    <row r="132" spans="6:8" ht="12.75">
      <c r="F132" s="5"/>
      <c r="G132" s="5"/>
      <c r="H132" s="5"/>
    </row>
    <row r="133" spans="6:8" ht="12.75">
      <c r="F133" s="5"/>
      <c r="G133" s="5"/>
      <c r="H133" s="5"/>
    </row>
    <row r="134" spans="6:8" ht="12.75">
      <c r="F134" s="5"/>
      <c r="G134" s="5"/>
      <c r="H134" s="5"/>
    </row>
    <row r="135" spans="6:8" ht="12.75">
      <c r="F135" s="5"/>
      <c r="G135" s="5"/>
      <c r="H135" s="5"/>
    </row>
    <row r="136" spans="6:8" ht="12.75">
      <c r="F136" s="5"/>
      <c r="G136" s="5"/>
      <c r="H136" s="5"/>
    </row>
    <row r="137" spans="6:8" ht="12.75">
      <c r="F137" s="5"/>
      <c r="G137" s="5"/>
      <c r="H137" s="5"/>
    </row>
    <row r="138" spans="6:8" ht="12.75">
      <c r="F138" s="5"/>
      <c r="G138" s="5"/>
      <c r="H138" s="5"/>
    </row>
    <row r="139" spans="6:8" ht="12.75">
      <c r="F139" s="5"/>
      <c r="G139" s="5"/>
      <c r="H139" s="5"/>
    </row>
    <row r="140" spans="6:8" ht="12.75">
      <c r="F140" s="5"/>
      <c r="G140" s="5"/>
      <c r="H140" s="5"/>
    </row>
    <row r="141" spans="6:8" ht="12.75">
      <c r="F141" s="5"/>
      <c r="G141" s="5"/>
      <c r="H141" s="5"/>
    </row>
    <row r="142" spans="6:8" ht="12.75">
      <c r="F142" s="5"/>
      <c r="G142" s="5"/>
      <c r="H142" s="5"/>
    </row>
    <row r="143" spans="6:8" ht="12.75">
      <c r="F143" s="5"/>
      <c r="G143" s="5"/>
      <c r="H143" s="5"/>
    </row>
    <row r="144" spans="6:8" ht="12.75">
      <c r="F144" s="5"/>
      <c r="G144" s="5"/>
      <c r="H144" s="5"/>
    </row>
    <row r="145" spans="6:8" ht="12.75">
      <c r="F145" s="5"/>
      <c r="G145" s="5"/>
      <c r="H145" s="5"/>
    </row>
    <row r="146" spans="6:8" ht="12.75">
      <c r="F146" s="5"/>
      <c r="G146" s="5"/>
      <c r="H146" s="5"/>
    </row>
    <row r="147" spans="6:8" ht="12.75">
      <c r="F147" s="5"/>
      <c r="G147" s="5"/>
      <c r="H147" s="5"/>
    </row>
    <row r="148" spans="6:8" ht="12.75">
      <c r="F148" s="5"/>
      <c r="G148" s="5"/>
      <c r="H148" s="5"/>
    </row>
    <row r="149" spans="6:8" ht="12.75">
      <c r="F149" s="5"/>
      <c r="G149" s="5"/>
      <c r="H149" s="5"/>
    </row>
    <row r="150" spans="6:8" ht="12.75">
      <c r="F150" s="5"/>
      <c r="G150" s="5"/>
      <c r="H150" s="5"/>
    </row>
    <row r="151" spans="6:8" ht="12.75">
      <c r="F151" s="5"/>
      <c r="G151" s="5"/>
      <c r="H151" s="5"/>
    </row>
    <row r="152" spans="6:8" ht="12.75">
      <c r="F152" s="5"/>
      <c r="G152" s="5"/>
      <c r="H152" s="5"/>
    </row>
    <row r="153" spans="6:8" ht="12.75">
      <c r="F153" s="5"/>
      <c r="G153" s="5"/>
      <c r="H153" s="5"/>
    </row>
    <row r="154" spans="6:8" ht="12.75">
      <c r="F154" s="5"/>
      <c r="G154" s="5"/>
      <c r="H154" s="5"/>
    </row>
    <row r="155" spans="6:8" ht="12.75">
      <c r="F155" s="5"/>
      <c r="G155" s="5"/>
      <c r="H155" s="5"/>
    </row>
    <row r="156" spans="6:8" ht="12.75">
      <c r="F156" s="5"/>
      <c r="G156" s="5"/>
      <c r="H156" s="5"/>
    </row>
    <row r="157" spans="6:8" ht="12.75">
      <c r="F157" s="5"/>
      <c r="G157" s="5"/>
      <c r="H157" s="5"/>
    </row>
    <row r="158" spans="6:8" ht="12.75">
      <c r="F158" s="5"/>
      <c r="G158" s="5"/>
      <c r="H158" s="5"/>
    </row>
    <row r="159" spans="6:8" ht="12.75">
      <c r="F159" s="5"/>
      <c r="G159" s="5"/>
      <c r="H159" s="5"/>
    </row>
    <row r="160" spans="6:8" ht="12.75">
      <c r="F160" s="5"/>
      <c r="G160" s="5"/>
      <c r="H160" s="5"/>
    </row>
    <row r="161" spans="6:8" ht="12.75">
      <c r="F161" s="5"/>
      <c r="G161" s="5"/>
      <c r="H161" s="5"/>
    </row>
    <row r="162" spans="6:8" ht="12.75">
      <c r="F162" s="5"/>
      <c r="G162" s="5"/>
      <c r="H162" s="5"/>
    </row>
    <row r="163" spans="6:8" ht="12.75">
      <c r="F163" s="5"/>
      <c r="G163" s="5"/>
      <c r="H163" s="5"/>
    </row>
    <row r="164" spans="6:8" ht="12.75">
      <c r="F164" s="5"/>
      <c r="G164" s="5"/>
      <c r="H164" s="5"/>
    </row>
    <row r="165" spans="6:8" ht="12.75">
      <c r="F165" s="5"/>
      <c r="G165" s="5"/>
      <c r="H165" s="5"/>
    </row>
    <row r="166" spans="6:8" ht="12.75">
      <c r="F166" s="5"/>
      <c r="G166" s="5"/>
      <c r="H166" s="5"/>
    </row>
  </sheetData>
  <mergeCells count="1">
    <mergeCell ref="A56:H56"/>
  </mergeCells>
  <printOptions horizontalCentered="1"/>
  <pageMargins left="0.7874015748031497" right="0.7874015748031497" top="0.7874015748031497" bottom="0.7874015748031497" header="0.5118110236220472" footer="0.15748031496062992"/>
  <pageSetup horizontalDpi="600" verticalDpi="600" orientation="portrait" scale="98" r:id="rId1"/>
  <headerFooter alignWithMargins="0">
    <oddFooter>&amp;C15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51"/>
  <sheetViews>
    <sheetView workbookViewId="0" topLeftCell="A1">
      <selection activeCell="G46" sqref="G46"/>
    </sheetView>
  </sheetViews>
  <sheetFormatPr defaultColWidth="11.421875" defaultRowHeight="12.75"/>
  <cols>
    <col min="3" max="3" width="9.57421875" style="0" customWidth="1"/>
    <col min="4" max="4" width="10.00390625" style="0" customWidth="1"/>
  </cols>
  <sheetData>
    <row r="1" spans="1:8" ht="15.75">
      <c r="A1" s="27" t="s">
        <v>41</v>
      </c>
      <c r="B1" s="27"/>
      <c r="C1" s="27"/>
      <c r="D1" s="27"/>
      <c r="E1" s="27"/>
      <c r="F1" s="27"/>
      <c r="G1" s="27"/>
      <c r="H1" s="27"/>
    </row>
    <row r="2" spans="3:8" ht="15" customHeight="1">
      <c r="C2" s="68" t="s">
        <v>133</v>
      </c>
      <c r="H2" s="28">
        <v>39414</v>
      </c>
    </row>
    <row r="3" ht="12.75">
      <c r="B3" s="15" t="s">
        <v>118</v>
      </c>
    </row>
    <row r="4" spans="1:8" ht="17.25" customHeight="1">
      <c r="A4" s="16" t="s">
        <v>2</v>
      </c>
      <c r="B4" s="1"/>
      <c r="C4" s="16" t="s">
        <v>3</v>
      </c>
      <c r="D4" s="16" t="s">
        <v>4</v>
      </c>
      <c r="E4" s="16" t="s">
        <v>5</v>
      </c>
      <c r="F4" s="4" t="s">
        <v>6</v>
      </c>
      <c r="G4" s="16" t="s">
        <v>7</v>
      </c>
      <c r="H4" s="3" t="s">
        <v>8</v>
      </c>
    </row>
    <row r="5" spans="3:8" ht="12.75">
      <c r="C5" s="1"/>
      <c r="D5" s="1"/>
      <c r="E5" s="1"/>
      <c r="F5" s="16" t="s">
        <v>9</v>
      </c>
      <c r="G5" s="1"/>
      <c r="H5" s="17" t="s">
        <v>10</v>
      </c>
    </row>
    <row r="6" spans="1:8" ht="12.75">
      <c r="A6" s="9" t="s">
        <v>50</v>
      </c>
      <c r="D6" s="23"/>
      <c r="E6" s="1"/>
      <c r="F6" s="3"/>
      <c r="G6" s="1"/>
      <c r="H6" s="4"/>
    </row>
    <row r="7" spans="1:8" ht="12.75">
      <c r="A7" s="26" t="s">
        <v>64</v>
      </c>
      <c r="B7" s="1"/>
      <c r="C7" s="49">
        <v>8800</v>
      </c>
      <c r="D7" s="48">
        <v>141</v>
      </c>
      <c r="E7" s="32">
        <v>1000</v>
      </c>
      <c r="F7" s="5">
        <v>1240.8</v>
      </c>
      <c r="G7" s="5">
        <f>+F7</f>
        <v>1240.8</v>
      </c>
      <c r="H7" s="7">
        <f>C7*D7/E7</f>
        <v>1240.8</v>
      </c>
    </row>
    <row r="8" spans="1:8" ht="12.75">
      <c r="A8" s="33" t="s">
        <v>122</v>
      </c>
      <c r="C8" s="32">
        <v>7900</v>
      </c>
      <c r="D8" s="13">
        <v>32.2</v>
      </c>
      <c r="E8" s="32">
        <v>1000</v>
      </c>
      <c r="F8" s="13">
        <v>254.37</v>
      </c>
      <c r="G8" s="5">
        <f>+F8</f>
        <v>254.37</v>
      </c>
      <c r="H8" s="5">
        <v>254.37</v>
      </c>
    </row>
    <row r="9" spans="1:8" ht="13.5" customHeight="1">
      <c r="A9" t="s">
        <v>130</v>
      </c>
      <c r="B9" s="43"/>
      <c r="C9" s="43"/>
      <c r="D9" s="44"/>
      <c r="F9" s="5">
        <f>SUM(F7:F8)</f>
        <v>1495.17</v>
      </c>
      <c r="G9" s="5">
        <f>SUM(G7:G8)</f>
        <v>1495.17</v>
      </c>
      <c r="H9" s="5">
        <f>SUM(H7:H8)</f>
        <v>1495.17</v>
      </c>
    </row>
    <row r="10" spans="1:8" ht="15" customHeight="1">
      <c r="A10" s="9" t="s">
        <v>13</v>
      </c>
      <c r="D10" s="6">
        <f>D7+D8</f>
        <v>173.2</v>
      </c>
      <c r="F10" s="5"/>
      <c r="G10" s="5"/>
      <c r="H10" s="5"/>
    </row>
    <row r="11" spans="1:7" ht="14.25" customHeight="1">
      <c r="A11" s="12" t="s">
        <v>14</v>
      </c>
      <c r="F11" s="5"/>
      <c r="G11" s="5"/>
    </row>
    <row r="12" spans="1:8" ht="12.75">
      <c r="A12" s="65" t="s">
        <v>97</v>
      </c>
      <c r="C12" s="32">
        <v>80000</v>
      </c>
      <c r="D12" s="7">
        <v>155</v>
      </c>
      <c r="E12" s="32">
        <v>80000</v>
      </c>
      <c r="F12" s="5">
        <v>155</v>
      </c>
      <c r="G12" s="5">
        <f>+F12</f>
        <v>155</v>
      </c>
      <c r="H12" s="5">
        <f>C12*D12/E12</f>
        <v>155</v>
      </c>
    </row>
    <row r="13" spans="1:8" ht="12.75">
      <c r="A13" t="s">
        <v>15</v>
      </c>
      <c r="C13" s="32"/>
      <c r="D13" s="7"/>
      <c r="E13" s="32"/>
      <c r="F13" s="5"/>
      <c r="G13" s="5"/>
      <c r="H13" s="5"/>
    </row>
    <row r="14" spans="1:8" ht="12.75">
      <c r="A14" s="10" t="s">
        <v>16</v>
      </c>
      <c r="C14" s="32">
        <v>125</v>
      </c>
      <c r="D14" s="7">
        <v>422</v>
      </c>
      <c r="E14" s="32">
        <v>1000</v>
      </c>
      <c r="F14" s="5">
        <v>52.75</v>
      </c>
      <c r="G14" s="5">
        <f>+F14</f>
        <v>52.75</v>
      </c>
      <c r="H14" s="5">
        <f>C14*D14/E14</f>
        <v>52.75</v>
      </c>
    </row>
    <row r="15" spans="1:8" ht="12.75">
      <c r="A15" s="10" t="s">
        <v>17</v>
      </c>
      <c r="C15" s="32">
        <v>225</v>
      </c>
      <c r="D15" s="7">
        <v>509.5</v>
      </c>
      <c r="E15" s="32">
        <v>1000</v>
      </c>
      <c r="F15" s="5">
        <v>114.64</v>
      </c>
      <c r="G15" s="5">
        <f aca="true" t="shared" si="0" ref="G15:G20">+F15</f>
        <v>114.64</v>
      </c>
      <c r="H15" s="5">
        <f aca="true" t="shared" si="1" ref="H15:H20">C15*D15/E15</f>
        <v>114.6375</v>
      </c>
    </row>
    <row r="16" spans="1:8" ht="12.75">
      <c r="A16" s="10" t="s">
        <v>18</v>
      </c>
      <c r="C16" s="32">
        <v>68.5</v>
      </c>
      <c r="D16" s="7">
        <v>340</v>
      </c>
      <c r="E16" s="32">
        <v>200</v>
      </c>
      <c r="F16" s="5">
        <v>116.45</v>
      </c>
      <c r="G16" s="5">
        <f t="shared" si="0"/>
        <v>116.45</v>
      </c>
      <c r="H16" s="5">
        <f t="shared" si="1"/>
        <v>116.45</v>
      </c>
    </row>
    <row r="17" spans="1:8" ht="12.75">
      <c r="A17" t="s">
        <v>19</v>
      </c>
      <c r="C17" s="32">
        <v>0.5</v>
      </c>
      <c r="D17" s="7">
        <v>30</v>
      </c>
      <c r="E17" s="32">
        <v>1</v>
      </c>
      <c r="F17" s="5">
        <v>15</v>
      </c>
      <c r="G17" s="5">
        <f t="shared" si="0"/>
        <v>15</v>
      </c>
      <c r="H17" s="5">
        <f t="shared" si="1"/>
        <v>15</v>
      </c>
    </row>
    <row r="18" spans="1:8" ht="12.75">
      <c r="A18" s="10" t="s">
        <v>45</v>
      </c>
      <c r="C18" s="32"/>
      <c r="D18" s="7"/>
      <c r="E18" s="32"/>
      <c r="F18" s="5"/>
      <c r="G18" s="5"/>
      <c r="H18" s="5"/>
    </row>
    <row r="19" spans="1:8" ht="12.75">
      <c r="A19" t="s">
        <v>20</v>
      </c>
      <c r="C19" s="32">
        <v>1.25</v>
      </c>
      <c r="D19" s="7">
        <v>44.8</v>
      </c>
      <c r="E19" s="32">
        <v>1</v>
      </c>
      <c r="F19" s="5">
        <v>56</v>
      </c>
      <c r="G19" s="5">
        <f t="shared" si="0"/>
        <v>56</v>
      </c>
      <c r="H19" s="5">
        <f t="shared" si="1"/>
        <v>56</v>
      </c>
    </row>
    <row r="20" spans="1:8" ht="12.75">
      <c r="A20" t="s">
        <v>21</v>
      </c>
      <c r="C20" s="32">
        <v>4.5</v>
      </c>
      <c r="D20" s="7">
        <v>119.49</v>
      </c>
      <c r="E20" s="32">
        <v>10</v>
      </c>
      <c r="F20" s="5">
        <v>53.77</v>
      </c>
      <c r="G20" s="5">
        <f t="shared" si="0"/>
        <v>53.77</v>
      </c>
      <c r="H20" s="5">
        <f t="shared" si="1"/>
        <v>53.77049999999999</v>
      </c>
    </row>
    <row r="21" spans="1:8" ht="14.25" customHeight="1">
      <c r="A21" s="10" t="s">
        <v>46</v>
      </c>
      <c r="F21" s="6">
        <f>H21</f>
        <v>563.608</v>
      </c>
      <c r="G21" s="6">
        <f>+F21</f>
        <v>563.608</v>
      </c>
      <c r="H21" s="11">
        <f>SUM(H12:H20)</f>
        <v>563.608</v>
      </c>
    </row>
    <row r="22" spans="1:8" ht="15" customHeight="1">
      <c r="A22" s="12" t="s">
        <v>22</v>
      </c>
      <c r="F22" s="16" t="s">
        <v>23</v>
      </c>
      <c r="G22" s="29" t="s">
        <v>24</v>
      </c>
      <c r="H22" s="5"/>
    </row>
    <row r="23" spans="1:8" ht="12.75">
      <c r="A23" s="47" t="s">
        <v>81</v>
      </c>
      <c r="F23" s="5">
        <v>71.08</v>
      </c>
      <c r="G23" s="5">
        <v>25.02</v>
      </c>
      <c r="H23" s="13">
        <f>+G23</f>
        <v>25.02</v>
      </c>
    </row>
    <row r="24" spans="1:8" ht="12.75">
      <c r="A24" t="s">
        <v>54</v>
      </c>
      <c r="F24" s="5">
        <v>16.83</v>
      </c>
      <c r="G24" s="5">
        <v>5.94</v>
      </c>
      <c r="H24" s="13">
        <f>+G24</f>
        <v>5.94</v>
      </c>
    </row>
    <row r="25" spans="1:8" ht="12.75">
      <c r="A25" t="s">
        <v>141</v>
      </c>
      <c r="F25" s="5">
        <v>13.38</v>
      </c>
      <c r="G25" s="5">
        <v>4.41</v>
      </c>
      <c r="H25" s="5">
        <f aca="true" t="shared" si="2" ref="H25:H32">+G25</f>
        <v>4.41</v>
      </c>
    </row>
    <row r="26" spans="1:8" ht="12.75">
      <c r="A26" s="10" t="s">
        <v>55</v>
      </c>
      <c r="F26" s="5">
        <f>3.81*2</f>
        <v>7.62</v>
      </c>
      <c r="G26" s="5">
        <f>0.73*2</f>
        <v>1.46</v>
      </c>
      <c r="H26" s="5">
        <f t="shared" si="2"/>
        <v>1.46</v>
      </c>
    </row>
    <row r="27" spans="1:8" ht="12.75">
      <c r="A27" s="10" t="s">
        <v>57</v>
      </c>
      <c r="F27" s="5">
        <v>39.28</v>
      </c>
      <c r="G27" s="5">
        <v>8.92</v>
      </c>
      <c r="H27" s="5">
        <f>+G27</f>
        <v>8.92</v>
      </c>
    </row>
    <row r="28" spans="1:8" ht="12.75">
      <c r="A28" s="10" t="s">
        <v>56</v>
      </c>
      <c r="F28" s="13">
        <v>11.77</v>
      </c>
      <c r="G28" s="5">
        <v>2.37</v>
      </c>
      <c r="H28" s="5">
        <f t="shared" si="2"/>
        <v>2.37</v>
      </c>
    </row>
    <row r="29" spans="1:8" ht="12.75">
      <c r="A29" t="s">
        <v>58</v>
      </c>
      <c r="F29" s="5">
        <v>20.24</v>
      </c>
      <c r="G29" s="5">
        <v>3.93</v>
      </c>
      <c r="H29" s="5">
        <f t="shared" si="2"/>
        <v>3.93</v>
      </c>
    </row>
    <row r="30" spans="1:8" ht="12.75">
      <c r="A30" t="s">
        <v>59</v>
      </c>
      <c r="F30" s="5">
        <v>74.5</v>
      </c>
      <c r="G30" s="5">
        <v>24.4</v>
      </c>
      <c r="H30" s="5">
        <f>+G30</f>
        <v>24.4</v>
      </c>
    </row>
    <row r="31" spans="1:8" ht="12.75">
      <c r="A31" t="s">
        <v>100</v>
      </c>
      <c r="F31" s="5">
        <v>28.01</v>
      </c>
      <c r="G31" s="5">
        <v>8.3</v>
      </c>
      <c r="H31" s="5">
        <f t="shared" si="2"/>
        <v>8.3</v>
      </c>
    </row>
    <row r="32" spans="1:8" ht="12.75">
      <c r="A32" t="s">
        <v>129</v>
      </c>
      <c r="F32" s="5">
        <f>6*(C7/1000)</f>
        <v>52.800000000000004</v>
      </c>
      <c r="G32" s="5">
        <v>8.3</v>
      </c>
      <c r="H32" s="5">
        <f t="shared" si="2"/>
        <v>8.3</v>
      </c>
    </row>
    <row r="33" spans="1:8" ht="14.25" customHeight="1">
      <c r="A33" t="s">
        <v>26</v>
      </c>
      <c r="F33" s="30">
        <f>SUM(F23:F32)</f>
        <v>335.51000000000005</v>
      </c>
      <c r="G33" s="30">
        <f>SUM(G23:G32)</f>
        <v>93.05</v>
      </c>
      <c r="H33" s="30">
        <f>SUM(H23:H32)</f>
        <v>93.05</v>
      </c>
    </row>
    <row r="34" spans="1:8" ht="15" customHeight="1">
      <c r="A34" s="12" t="s">
        <v>27</v>
      </c>
      <c r="F34" s="30"/>
      <c r="G34" s="30"/>
      <c r="H34" s="14"/>
    </row>
    <row r="35" spans="1:9" ht="14.25" customHeight="1">
      <c r="A35" s="10" t="s">
        <v>28</v>
      </c>
      <c r="C35" s="32">
        <f>+C7</f>
        <v>8800</v>
      </c>
      <c r="D35" s="7">
        <v>26.01</v>
      </c>
      <c r="E35" s="32">
        <v>1000</v>
      </c>
      <c r="F35" s="5">
        <f>C35*I35/E35</f>
        <v>272.8</v>
      </c>
      <c r="G35" s="5">
        <v>228.89</v>
      </c>
      <c r="H35" s="5">
        <f>C35*D35/E35</f>
        <v>228.888</v>
      </c>
      <c r="I35" s="32">
        <v>31</v>
      </c>
    </row>
    <row r="36" spans="1:9" ht="12.75">
      <c r="A36" t="s">
        <v>29</v>
      </c>
      <c r="C36" s="32">
        <f>+C7</f>
        <v>8800</v>
      </c>
      <c r="D36" s="7">
        <v>1.3</v>
      </c>
      <c r="E36" s="32">
        <v>1000</v>
      </c>
      <c r="F36" s="5">
        <v>0</v>
      </c>
      <c r="G36" s="5">
        <v>0</v>
      </c>
      <c r="H36" s="5">
        <v>0</v>
      </c>
      <c r="I36" s="38">
        <f>6+(4*1.75)</f>
        <v>13</v>
      </c>
    </row>
    <row r="37" spans="1:9" ht="12.75">
      <c r="A37" s="23" t="s">
        <v>48</v>
      </c>
      <c r="C37" s="32">
        <f>+C36</f>
        <v>8800</v>
      </c>
      <c r="D37" s="7">
        <v>0</v>
      </c>
      <c r="E37" s="32">
        <v>1000</v>
      </c>
      <c r="F37" s="39">
        <v>0</v>
      </c>
      <c r="G37" s="5">
        <f>+F37</f>
        <v>0</v>
      </c>
      <c r="H37" s="5">
        <f>C37*D37/E37</f>
        <v>0</v>
      </c>
      <c r="I37" s="38">
        <v>9.5</v>
      </c>
    </row>
    <row r="38" spans="1:9" ht="12.75">
      <c r="A38" t="s">
        <v>33</v>
      </c>
      <c r="C38" s="32">
        <f>+C7</f>
        <v>8800</v>
      </c>
      <c r="D38" s="7">
        <f>0.85+0.45</f>
        <v>1.3</v>
      </c>
      <c r="E38" s="32">
        <v>1000</v>
      </c>
      <c r="F38" s="5">
        <v>11.44</v>
      </c>
      <c r="G38" s="5">
        <f>+F38</f>
        <v>11.44</v>
      </c>
      <c r="H38" s="5">
        <f>C38*D38/E38</f>
        <v>11.44</v>
      </c>
      <c r="I38" s="22"/>
    </row>
    <row r="39" spans="1:8" ht="12.75">
      <c r="A39" s="24" t="s">
        <v>31</v>
      </c>
      <c r="F39" s="6">
        <f>SUM(F35:F38)</f>
        <v>284.24</v>
      </c>
      <c r="G39" s="6">
        <f>SUM(G35:G38)</f>
        <v>240.32999999999998</v>
      </c>
      <c r="H39" s="6">
        <f>SUM(H35:H38)</f>
        <v>240.328</v>
      </c>
    </row>
    <row r="40" ht="15" customHeight="1">
      <c r="A40" s="18" t="s">
        <v>32</v>
      </c>
    </row>
    <row r="41" spans="1:8" ht="12.75">
      <c r="A41" t="s">
        <v>62</v>
      </c>
      <c r="C41" s="32">
        <f>C7</f>
        <v>8800</v>
      </c>
      <c r="D41" s="7">
        <v>174</v>
      </c>
      <c r="E41" s="36">
        <v>0.0328</v>
      </c>
      <c r="F41" s="5">
        <v>42.69</v>
      </c>
      <c r="G41" s="5">
        <f>+F41</f>
        <v>42.69</v>
      </c>
      <c r="H41" s="5">
        <f>C41/1000*0.85*D41*E41</f>
        <v>42.689856000000006</v>
      </c>
    </row>
    <row r="42" spans="1:8" ht="12.75">
      <c r="A42" t="s">
        <v>123</v>
      </c>
      <c r="D42" s="5"/>
      <c r="F42" s="5">
        <v>102.06</v>
      </c>
      <c r="G42" s="5">
        <f>+F42</f>
        <v>102.06</v>
      </c>
      <c r="H42" s="5">
        <v>102.06</v>
      </c>
    </row>
    <row r="43" spans="1:8" ht="12.75">
      <c r="A43" t="s">
        <v>34</v>
      </c>
      <c r="C43" s="32">
        <v>5</v>
      </c>
      <c r="D43" s="7">
        <v>14</v>
      </c>
      <c r="E43" s="32">
        <v>1</v>
      </c>
      <c r="F43" s="5">
        <v>0</v>
      </c>
      <c r="G43" s="5">
        <v>70</v>
      </c>
      <c r="H43" s="5">
        <f>C43*D43/E43</f>
        <v>70</v>
      </c>
    </row>
    <row r="44" spans="1:8" ht="12.75">
      <c r="A44" s="10" t="s">
        <v>49</v>
      </c>
      <c r="C44" s="32"/>
      <c r="D44" s="32"/>
      <c r="E44" s="32"/>
      <c r="F44" s="13">
        <f>8000*0.03</f>
        <v>240</v>
      </c>
      <c r="G44" s="5">
        <v>0</v>
      </c>
      <c r="H44" s="5">
        <v>0</v>
      </c>
    </row>
    <row r="45" spans="1:8" ht="12.75">
      <c r="A45" s="10" t="s">
        <v>51</v>
      </c>
      <c r="C45" s="32"/>
      <c r="D45" s="32"/>
      <c r="E45" s="32"/>
      <c r="F45" s="13">
        <f>8000*0.67/100</f>
        <v>53.6</v>
      </c>
      <c r="G45" s="5">
        <f>+H45</f>
        <v>74</v>
      </c>
      <c r="H45" s="13">
        <f>8000*0.925/100</f>
        <v>74</v>
      </c>
    </row>
    <row r="46" spans="1:8" ht="12.75">
      <c r="A46" t="s">
        <v>35</v>
      </c>
      <c r="C46" s="34">
        <f>H21+H33+H39+SUM(H41:H45)</f>
        <v>1185.7358559999998</v>
      </c>
      <c r="D46" s="46">
        <v>0.075</v>
      </c>
      <c r="E46" s="32">
        <v>9</v>
      </c>
      <c r="F46" s="5">
        <v>66.7</v>
      </c>
      <c r="G46" s="5">
        <f>+F46</f>
        <v>66.7</v>
      </c>
      <c r="H46" s="5">
        <f>C46*D46*E46/12</f>
        <v>66.6976419</v>
      </c>
    </row>
    <row r="47" spans="1:8" ht="12.75">
      <c r="A47" t="s">
        <v>36</v>
      </c>
      <c r="C47" s="32"/>
      <c r="D47" s="32"/>
      <c r="E47" s="35" t="s">
        <v>37</v>
      </c>
      <c r="F47" s="5">
        <f>SUM(F41:F46)</f>
        <v>505.05</v>
      </c>
      <c r="G47" s="5">
        <f>SUM(G41:G46)</f>
        <v>355.45</v>
      </c>
      <c r="H47" s="5">
        <f>SUM(H41:H46)</f>
        <v>355.44749790000003</v>
      </c>
    </row>
    <row r="48" spans="6:8" ht="7.5" customHeight="1">
      <c r="F48" s="5"/>
      <c r="G48" s="5"/>
      <c r="H48" s="5"/>
    </row>
    <row r="49" spans="1:8" ht="12.75">
      <c r="A49" s="10" t="s">
        <v>38</v>
      </c>
      <c r="F49" s="5">
        <f>F21+F33+F39+F47</f>
        <v>1688.408</v>
      </c>
      <c r="G49" s="5">
        <f>G21+G33+G39+G47</f>
        <v>1252.4379999999999</v>
      </c>
      <c r="H49" s="5">
        <f>H21+H33+H39+H47</f>
        <v>1252.4334979</v>
      </c>
    </row>
    <row r="50" spans="1:8" ht="12.75">
      <c r="A50" s="9" t="s">
        <v>39</v>
      </c>
      <c r="F50" s="20">
        <f>F9-F49</f>
        <v>-193.23799999999983</v>
      </c>
      <c r="G50" s="20">
        <f>G9-G49</f>
        <v>242.7320000000002</v>
      </c>
      <c r="H50" s="19">
        <f>H9-H49</f>
        <v>242.73650210000005</v>
      </c>
    </row>
    <row r="51" spans="1:8" ht="12.75">
      <c r="A51" t="s">
        <v>40</v>
      </c>
      <c r="F51" s="5"/>
      <c r="G51" s="5"/>
      <c r="H51" s="5">
        <f>H49/(C7/1000)</f>
        <v>142.32198839772727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scale="97" r:id="rId1"/>
  <headerFooter alignWithMargins="0">
    <oddFooter>&amp;C16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I77"/>
  <sheetViews>
    <sheetView workbookViewId="0" topLeftCell="A1">
      <selection activeCell="G44" sqref="G44"/>
    </sheetView>
  </sheetViews>
  <sheetFormatPr defaultColWidth="11.421875" defaultRowHeight="12.75"/>
  <cols>
    <col min="3" max="3" width="10.421875" style="0" bestFit="1" customWidth="1"/>
    <col min="4" max="4" width="9.8515625" style="0" customWidth="1"/>
    <col min="5" max="5" width="9.28125" style="0" customWidth="1"/>
  </cols>
  <sheetData>
    <row r="1" spans="1:8" ht="15.75">
      <c r="A1" s="27" t="s">
        <v>42</v>
      </c>
      <c r="B1" s="27"/>
      <c r="C1" s="27"/>
      <c r="D1" s="27"/>
      <c r="E1" s="27"/>
      <c r="F1" s="27"/>
      <c r="G1" s="27"/>
      <c r="H1" s="27"/>
    </row>
    <row r="2" spans="2:8" ht="12.75">
      <c r="B2" s="9" t="s">
        <v>0</v>
      </c>
      <c r="H2" s="28">
        <v>39414</v>
      </c>
    </row>
    <row r="3" ht="12.75">
      <c r="B3" s="10" t="s">
        <v>1</v>
      </c>
    </row>
    <row r="4" ht="12.75">
      <c r="B4" s="15" t="s">
        <v>118</v>
      </c>
    </row>
    <row r="5" spans="1:8" ht="15" customHeight="1">
      <c r="A5" s="16" t="s">
        <v>2</v>
      </c>
      <c r="B5" s="1"/>
      <c r="C5" s="16" t="s">
        <v>3</v>
      </c>
      <c r="D5" s="16" t="s">
        <v>4</v>
      </c>
      <c r="E5" s="16" t="s">
        <v>5</v>
      </c>
      <c r="F5" s="4" t="s">
        <v>6</v>
      </c>
      <c r="G5" s="16" t="s">
        <v>7</v>
      </c>
      <c r="H5" s="3" t="s">
        <v>8</v>
      </c>
    </row>
    <row r="6" spans="3:8" ht="12.75">
      <c r="C6" s="1"/>
      <c r="D6" s="1"/>
      <c r="E6" s="1"/>
      <c r="F6" s="16" t="s">
        <v>9</v>
      </c>
      <c r="G6" s="1"/>
      <c r="H6" s="17" t="s">
        <v>10</v>
      </c>
    </row>
    <row r="7" spans="1:8" ht="12.75">
      <c r="A7" s="9" t="s">
        <v>11</v>
      </c>
      <c r="C7" s="23"/>
      <c r="D7" s="1"/>
      <c r="E7" s="1"/>
      <c r="F7" s="3"/>
      <c r="G7" s="1"/>
      <c r="H7" s="4"/>
    </row>
    <row r="8" spans="1:8" ht="12.75">
      <c r="A8" s="26" t="s">
        <v>63</v>
      </c>
      <c r="B8" s="1"/>
      <c r="C8" s="58">
        <f>8800/0.8372</f>
        <v>10511.22790253225</v>
      </c>
      <c r="D8" s="48">
        <f>141*0.8372</f>
        <v>118.04520000000001</v>
      </c>
      <c r="E8" s="32">
        <v>1000</v>
      </c>
      <c r="F8" s="5">
        <v>1240.8</v>
      </c>
      <c r="G8" s="5">
        <f>+F8</f>
        <v>1240.8</v>
      </c>
      <c r="H8" s="7">
        <f>C8*D8/E8</f>
        <v>1240.8</v>
      </c>
    </row>
    <row r="9" spans="1:8" ht="12.75">
      <c r="A9" s="24" t="s">
        <v>122</v>
      </c>
      <c r="C9" s="32">
        <v>7900</v>
      </c>
      <c r="D9" s="7">
        <v>32.2</v>
      </c>
      <c r="E9" s="32">
        <v>1000</v>
      </c>
      <c r="F9" s="5">
        <v>254.37</v>
      </c>
      <c r="G9" s="5">
        <f>+F9</f>
        <v>254.37</v>
      </c>
      <c r="H9" s="13">
        <v>254.37</v>
      </c>
    </row>
    <row r="10" spans="1:8" ht="12.75">
      <c r="A10" s="45" t="s">
        <v>131</v>
      </c>
      <c r="D10" s="6"/>
      <c r="F10" s="5">
        <f>SUM(F8:F9)</f>
        <v>1495.17</v>
      </c>
      <c r="G10" s="5">
        <f>SUM(G8:G9)</f>
        <v>1495.17</v>
      </c>
      <c r="H10" s="5">
        <f>SUM(H8:H9)</f>
        <v>1495.17</v>
      </c>
    </row>
    <row r="11" spans="1:8" ht="15.75" customHeight="1">
      <c r="A11" s="9" t="s">
        <v>13</v>
      </c>
      <c r="D11" s="6">
        <f>SUM(D8:D9)</f>
        <v>150.2452</v>
      </c>
      <c r="F11" s="5"/>
      <c r="G11" s="5"/>
      <c r="H11" s="5"/>
    </row>
    <row r="12" spans="1:7" ht="12.75">
      <c r="A12" s="12" t="s">
        <v>14</v>
      </c>
      <c r="F12" s="5"/>
      <c r="G12" s="5"/>
    </row>
    <row r="13" spans="1:8" ht="14.25" customHeight="1">
      <c r="A13" s="65" t="s">
        <v>97</v>
      </c>
      <c r="C13" s="32">
        <v>80000</v>
      </c>
      <c r="D13" s="7">
        <v>155</v>
      </c>
      <c r="E13" s="32">
        <v>80000</v>
      </c>
      <c r="F13" s="5">
        <v>155</v>
      </c>
      <c r="G13" s="5">
        <f>+F13</f>
        <v>155</v>
      </c>
      <c r="H13" s="5">
        <f>C13*D13/E13</f>
        <v>155</v>
      </c>
    </row>
    <row r="14" spans="1:8" ht="12.75">
      <c r="A14" t="s">
        <v>15</v>
      </c>
      <c r="C14" s="32"/>
      <c r="D14" s="7"/>
      <c r="E14" s="32"/>
      <c r="F14" s="5"/>
      <c r="G14" s="5"/>
      <c r="H14" s="5"/>
    </row>
    <row r="15" spans="1:8" ht="12.75">
      <c r="A15" s="10" t="s">
        <v>16</v>
      </c>
      <c r="C15" s="32">
        <v>125</v>
      </c>
      <c r="D15" s="7">
        <v>422</v>
      </c>
      <c r="E15" s="32">
        <v>1000</v>
      </c>
      <c r="F15" s="5">
        <v>52.75</v>
      </c>
      <c r="G15" s="5">
        <f>+F15</f>
        <v>52.75</v>
      </c>
      <c r="H15" s="5">
        <f>C15*D15/E15</f>
        <v>52.75</v>
      </c>
    </row>
    <row r="16" spans="1:8" ht="12.75">
      <c r="A16" s="10" t="s">
        <v>17</v>
      </c>
      <c r="C16" s="32">
        <v>225</v>
      </c>
      <c r="D16" s="7">
        <v>509.5</v>
      </c>
      <c r="E16" s="32">
        <v>1000</v>
      </c>
      <c r="F16" s="5">
        <v>114.64</v>
      </c>
      <c r="G16" s="5">
        <f aca="true" t="shared" si="0" ref="G16:G21">+F16</f>
        <v>114.64</v>
      </c>
      <c r="H16" s="5">
        <f aca="true" t="shared" si="1" ref="H16:H21">C16*D16/E16</f>
        <v>114.6375</v>
      </c>
    </row>
    <row r="17" spans="1:8" ht="12.75">
      <c r="A17" s="10" t="s">
        <v>18</v>
      </c>
      <c r="C17" s="32">
        <v>68.5</v>
      </c>
      <c r="D17" s="7">
        <v>340</v>
      </c>
      <c r="E17" s="32">
        <v>200</v>
      </c>
      <c r="F17" s="5">
        <v>116.45</v>
      </c>
      <c r="G17" s="5">
        <f t="shared" si="0"/>
        <v>116.45</v>
      </c>
      <c r="H17" s="5">
        <f t="shared" si="1"/>
        <v>116.45</v>
      </c>
    </row>
    <row r="18" spans="1:8" ht="12.75">
      <c r="A18" t="s">
        <v>19</v>
      </c>
      <c r="C18" s="32">
        <v>0.5</v>
      </c>
      <c r="D18" s="7">
        <v>30</v>
      </c>
      <c r="E18" s="32">
        <v>1</v>
      </c>
      <c r="F18" s="13" t="s">
        <v>101</v>
      </c>
      <c r="G18" s="5" t="str">
        <f t="shared" si="0"/>
        <v> </v>
      </c>
      <c r="H18" s="5">
        <f t="shared" si="1"/>
        <v>15</v>
      </c>
    </row>
    <row r="19" spans="1:8" ht="12.75">
      <c r="A19" s="10" t="s">
        <v>45</v>
      </c>
      <c r="C19" s="32"/>
      <c r="D19" s="7"/>
      <c r="E19" s="32"/>
      <c r="F19" s="5"/>
      <c r="G19" s="5">
        <f t="shared" si="0"/>
        <v>0</v>
      </c>
      <c r="H19" s="5"/>
    </row>
    <row r="20" spans="1:8" ht="12.75">
      <c r="A20" t="s">
        <v>20</v>
      </c>
      <c r="C20" s="32">
        <v>1.25</v>
      </c>
      <c r="D20" s="7">
        <v>44.8</v>
      </c>
      <c r="E20" s="32">
        <v>1</v>
      </c>
      <c r="F20" s="5">
        <v>56</v>
      </c>
      <c r="G20" s="5">
        <f t="shared" si="0"/>
        <v>56</v>
      </c>
      <c r="H20" s="5">
        <f t="shared" si="1"/>
        <v>56</v>
      </c>
    </row>
    <row r="21" spans="1:8" ht="12.75">
      <c r="A21" t="s">
        <v>21</v>
      </c>
      <c r="C21" s="32">
        <v>4.5</v>
      </c>
      <c r="D21" s="7">
        <v>119.49</v>
      </c>
      <c r="E21" s="32">
        <v>10</v>
      </c>
      <c r="F21" s="5">
        <v>54.27</v>
      </c>
      <c r="G21" s="5">
        <f t="shared" si="0"/>
        <v>54.27</v>
      </c>
      <c r="H21" s="5">
        <f t="shared" si="1"/>
        <v>53.77049999999999</v>
      </c>
    </row>
    <row r="22" spans="1:8" ht="12.75">
      <c r="A22" s="10" t="s">
        <v>46</v>
      </c>
      <c r="F22" s="6">
        <f>H22</f>
        <v>563.608</v>
      </c>
      <c r="G22" s="6">
        <f>+F22</f>
        <v>563.608</v>
      </c>
      <c r="H22" s="11">
        <f>SUM(H13:H21)</f>
        <v>563.608</v>
      </c>
    </row>
    <row r="23" spans="1:8" ht="15" customHeight="1">
      <c r="A23" s="12" t="s">
        <v>22</v>
      </c>
      <c r="F23" s="16" t="s">
        <v>23</v>
      </c>
      <c r="G23" s="29" t="s">
        <v>24</v>
      </c>
      <c r="H23" s="5"/>
    </row>
    <row r="24" spans="1:8" ht="14.25" customHeight="1">
      <c r="A24" s="10" t="s">
        <v>25</v>
      </c>
      <c r="F24" s="5">
        <v>71.08</v>
      </c>
      <c r="G24" s="5">
        <v>25.02</v>
      </c>
      <c r="H24" s="13">
        <f>+G24</f>
        <v>25.02</v>
      </c>
    </row>
    <row r="25" spans="1:8" ht="12.75">
      <c r="A25" t="s">
        <v>54</v>
      </c>
      <c r="F25" s="5">
        <v>16.83</v>
      </c>
      <c r="G25" s="5">
        <v>5.94</v>
      </c>
      <c r="H25" s="13">
        <f>+G25</f>
        <v>5.94</v>
      </c>
    </row>
    <row r="26" spans="1:8" ht="12.75">
      <c r="A26" t="s">
        <v>141</v>
      </c>
      <c r="F26" s="5">
        <v>13.38</v>
      </c>
      <c r="G26" s="5">
        <v>4.41</v>
      </c>
      <c r="H26" s="5">
        <f aca="true" t="shared" si="2" ref="H26:H32">+G26</f>
        <v>4.41</v>
      </c>
    </row>
    <row r="27" spans="1:8" ht="12.75">
      <c r="A27" s="10" t="s">
        <v>55</v>
      </c>
      <c r="F27" s="5">
        <v>7.62</v>
      </c>
      <c r="G27" s="5">
        <f>0.73*2</f>
        <v>1.46</v>
      </c>
      <c r="H27" s="5">
        <f t="shared" si="2"/>
        <v>1.46</v>
      </c>
    </row>
    <row r="28" spans="1:8" ht="12.75">
      <c r="A28" s="10" t="s">
        <v>57</v>
      </c>
      <c r="F28" s="5">
        <v>39.28</v>
      </c>
      <c r="G28" s="5">
        <v>8.92</v>
      </c>
      <c r="H28" s="5">
        <f>+G28</f>
        <v>8.92</v>
      </c>
    </row>
    <row r="29" spans="1:8" ht="12.75">
      <c r="A29" s="10" t="s">
        <v>56</v>
      </c>
      <c r="F29" s="5">
        <v>11.77</v>
      </c>
      <c r="G29" s="5">
        <v>2.37</v>
      </c>
      <c r="H29" s="5">
        <f t="shared" si="2"/>
        <v>2.37</v>
      </c>
    </row>
    <row r="30" spans="1:8" ht="12.75">
      <c r="A30" t="s">
        <v>58</v>
      </c>
      <c r="F30" s="5">
        <v>20.24</v>
      </c>
      <c r="G30" s="5">
        <v>3.93</v>
      </c>
      <c r="H30" s="5">
        <f t="shared" si="2"/>
        <v>3.93</v>
      </c>
    </row>
    <row r="31" spans="1:8" ht="12.75">
      <c r="A31" t="s">
        <v>59</v>
      </c>
      <c r="F31" s="5">
        <v>74.5</v>
      </c>
      <c r="G31" s="5">
        <v>24.4</v>
      </c>
      <c r="H31" s="5">
        <f>+G31</f>
        <v>24.4</v>
      </c>
    </row>
    <row r="32" spans="1:8" ht="12.75">
      <c r="A32" t="s">
        <v>102</v>
      </c>
      <c r="F32" s="5">
        <v>28.01</v>
      </c>
      <c r="G32" s="5">
        <v>8.3</v>
      </c>
      <c r="H32" s="5">
        <f t="shared" si="2"/>
        <v>8.3</v>
      </c>
    </row>
    <row r="33" spans="1:8" ht="15" customHeight="1">
      <c r="A33" t="s">
        <v>26</v>
      </c>
      <c r="F33" s="30">
        <f>SUM(F24:F32)</f>
        <v>282.71000000000004</v>
      </c>
      <c r="G33" s="30">
        <f>SUM(G24:G32)</f>
        <v>84.75</v>
      </c>
      <c r="H33" s="14">
        <f>SUM(H24:H32)</f>
        <v>84.75</v>
      </c>
    </row>
    <row r="34" ht="15" customHeight="1">
      <c r="A34" s="12" t="s">
        <v>27</v>
      </c>
    </row>
    <row r="35" spans="1:9" ht="14.25" customHeight="1">
      <c r="A35" s="23" t="s">
        <v>48</v>
      </c>
      <c r="C35" s="59">
        <f>+C8</f>
        <v>10511.22790253225</v>
      </c>
      <c r="D35" s="7">
        <v>12</v>
      </c>
      <c r="E35" s="32">
        <v>1000</v>
      </c>
      <c r="F35" s="5">
        <f>C35*I35/E35</f>
        <v>126.13473483038699</v>
      </c>
      <c r="G35" s="5">
        <f>+F35</f>
        <v>126.13473483038699</v>
      </c>
      <c r="H35" s="5">
        <f>C35*D35/1000</f>
        <v>126.13473483038699</v>
      </c>
      <c r="I35" s="38">
        <v>12</v>
      </c>
    </row>
    <row r="36" spans="1:9" ht="12.75">
      <c r="A36" t="s">
        <v>33</v>
      </c>
      <c r="C36" s="32">
        <v>8800</v>
      </c>
      <c r="D36" s="7">
        <f>0.85+0.45</f>
        <v>1.3</v>
      </c>
      <c r="E36" s="32">
        <v>1000</v>
      </c>
      <c r="F36" s="7">
        <f>C36*D36/E36</f>
        <v>11.44</v>
      </c>
      <c r="G36" s="5">
        <f>+F36</f>
        <v>11.44</v>
      </c>
      <c r="H36" s="5">
        <f>C36*D36/E36</f>
        <v>11.44</v>
      </c>
      <c r="I36" s="38"/>
    </row>
    <row r="37" spans="1:8" ht="12.75">
      <c r="A37" s="24" t="s">
        <v>31</v>
      </c>
      <c r="F37" s="6">
        <f>SUM(F35:F36)</f>
        <v>137.574734830387</v>
      </c>
      <c r="G37" s="6">
        <f>+F37</f>
        <v>137.574734830387</v>
      </c>
      <c r="H37" s="6">
        <f>SUM(H35:H36)</f>
        <v>137.574734830387</v>
      </c>
    </row>
    <row r="38" ht="15" customHeight="1">
      <c r="A38" s="18" t="s">
        <v>32</v>
      </c>
    </row>
    <row r="39" spans="1:8" ht="12.75">
      <c r="A39" t="s">
        <v>60</v>
      </c>
      <c r="C39" s="32">
        <v>8800</v>
      </c>
      <c r="D39" s="7">
        <v>166</v>
      </c>
      <c r="E39" s="46">
        <v>0.0328</v>
      </c>
      <c r="F39" s="7">
        <v>40.73</v>
      </c>
      <c r="G39" s="5">
        <f>+F39</f>
        <v>40.73</v>
      </c>
      <c r="H39" s="5">
        <f>C39/1000*0.85*D39*E39</f>
        <v>40.727104000000004</v>
      </c>
    </row>
    <row r="40" spans="1:8" ht="12.75">
      <c r="A40" t="s">
        <v>124</v>
      </c>
      <c r="C40" s="32"/>
      <c r="D40" s="7"/>
      <c r="E40" s="32"/>
      <c r="F40" s="7">
        <v>102.06</v>
      </c>
      <c r="G40" s="5">
        <f>+F40</f>
        <v>102.06</v>
      </c>
      <c r="H40" s="5">
        <v>102.06</v>
      </c>
    </row>
    <row r="41" spans="1:8" ht="12.75">
      <c r="A41" t="s">
        <v>34</v>
      </c>
      <c r="C41" s="32">
        <v>5</v>
      </c>
      <c r="D41" s="7">
        <v>13</v>
      </c>
      <c r="E41" s="32">
        <v>1</v>
      </c>
      <c r="F41" s="7">
        <v>0</v>
      </c>
      <c r="G41" s="5">
        <v>65</v>
      </c>
      <c r="H41" s="5">
        <f>C41*D41/E41</f>
        <v>65</v>
      </c>
    </row>
    <row r="42" spans="1:8" ht="12.75">
      <c r="A42" s="10" t="s">
        <v>49</v>
      </c>
      <c r="C42" s="32"/>
      <c r="D42" s="32"/>
      <c r="E42" s="32"/>
      <c r="F42" s="37">
        <f>8000*0.03</f>
        <v>240</v>
      </c>
      <c r="G42" s="5">
        <v>0</v>
      </c>
      <c r="H42" s="5">
        <v>0</v>
      </c>
    </row>
    <row r="43" spans="1:8" ht="12.75">
      <c r="A43" s="10" t="s">
        <v>51</v>
      </c>
      <c r="C43" s="32"/>
      <c r="D43" s="32"/>
      <c r="E43" s="32"/>
      <c r="F43" s="37">
        <f>8000*0.67/100</f>
        <v>53.6</v>
      </c>
      <c r="G43" s="5">
        <f>+H43</f>
        <v>74</v>
      </c>
      <c r="H43" s="37">
        <f>8000*0.925/100</f>
        <v>74</v>
      </c>
    </row>
    <row r="44" spans="1:8" ht="12.75">
      <c r="A44" t="s">
        <v>35</v>
      </c>
      <c r="C44" s="38">
        <f>H22+H33+H37+SUM(H39:H43)</f>
        <v>1067.7198388303868</v>
      </c>
      <c r="D44" s="46">
        <v>0.075</v>
      </c>
      <c r="E44" s="32">
        <v>9</v>
      </c>
      <c r="F44" s="7">
        <v>60.06</v>
      </c>
      <c r="G44" s="5">
        <f>+F44</f>
        <v>60.06</v>
      </c>
      <c r="H44" s="5">
        <f>C44*D44*E44/12</f>
        <v>60.05924093420925</v>
      </c>
    </row>
    <row r="45" spans="1:8" ht="12.75">
      <c r="A45" t="s">
        <v>36</v>
      </c>
      <c r="C45" s="32"/>
      <c r="D45" s="32" t="s">
        <v>44</v>
      </c>
      <c r="E45" s="35" t="s">
        <v>37</v>
      </c>
      <c r="F45" s="7">
        <f>SUM(F39:F44)</f>
        <v>496.45</v>
      </c>
      <c r="G45" s="5">
        <f>SUM(G39:G44)</f>
        <v>341.84999999999997</v>
      </c>
      <c r="H45" s="5">
        <f>SUM(H39:H44)</f>
        <v>341.84634493420924</v>
      </c>
    </row>
    <row r="46" spans="6:8" ht="7.5" customHeight="1">
      <c r="F46" s="5"/>
      <c r="G46" s="5"/>
      <c r="H46" s="5"/>
    </row>
    <row r="47" spans="1:8" ht="12.75">
      <c r="A47" s="10" t="s">
        <v>38</v>
      </c>
      <c r="F47" s="5">
        <f>F22+F33+F37+F45</f>
        <v>1480.342734830387</v>
      </c>
      <c r="G47" s="5">
        <f>G22+G33+G37+G45</f>
        <v>1127.782734830387</v>
      </c>
      <c r="H47" s="5">
        <f>H22+H33+H37+H45</f>
        <v>1127.7790797645962</v>
      </c>
    </row>
    <row r="48" spans="1:8" ht="15" customHeight="1">
      <c r="A48" s="9" t="s">
        <v>47</v>
      </c>
      <c r="F48" s="20">
        <f>F10-F47</f>
        <v>14.827265169613156</v>
      </c>
      <c r="G48" s="20">
        <f>G10-G47</f>
        <v>367.3872651696131</v>
      </c>
      <c r="H48" s="19">
        <f>H10-H47</f>
        <v>367.3909202354039</v>
      </c>
    </row>
    <row r="49" spans="1:8" ht="15">
      <c r="A49" t="s">
        <v>83</v>
      </c>
      <c r="C49" s="57">
        <f>(F49+H49)/2</f>
        <v>124.06361268062045</v>
      </c>
      <c r="D49" t="s">
        <v>43</v>
      </c>
      <c r="F49" s="5">
        <f>F47/(C8/1000)</f>
        <v>140.83442472727273</v>
      </c>
      <c r="G49" s="5"/>
      <c r="H49" s="5">
        <f>H47/(C8/1000)</f>
        <v>107.29280063396818</v>
      </c>
    </row>
    <row r="52" spans="1:8" ht="15.75">
      <c r="A52" s="70" t="s">
        <v>67</v>
      </c>
      <c r="B52" s="70"/>
      <c r="C52" s="70"/>
      <c r="D52" s="70"/>
      <c r="E52" s="70"/>
      <c r="F52" s="70"/>
      <c r="G52" s="70"/>
      <c r="H52" s="70"/>
    </row>
    <row r="53" spans="6:8" ht="12.75">
      <c r="F53" s="5"/>
      <c r="G53" s="5"/>
      <c r="H53" s="5"/>
    </row>
    <row r="54" spans="4:8" ht="15.75">
      <c r="D54" s="50" t="s">
        <v>89</v>
      </c>
      <c r="F54" s="5"/>
      <c r="G54" s="5"/>
      <c r="H54" s="5"/>
    </row>
    <row r="55" spans="4:8" ht="15.75">
      <c r="D55" s="50"/>
      <c r="F55" s="5"/>
      <c r="G55" s="5"/>
      <c r="H55" s="5"/>
    </row>
    <row r="56" spans="6:8" ht="12.75">
      <c r="F56" s="5"/>
      <c r="G56" s="5"/>
      <c r="H56" s="5"/>
    </row>
    <row r="57" spans="1:8" ht="12.75">
      <c r="A57" t="s">
        <v>78</v>
      </c>
      <c r="F57" s="5">
        <f>+F47</f>
        <v>1480.342734830387</v>
      </c>
      <c r="G57" s="5"/>
      <c r="H57" s="5">
        <f>+H47</f>
        <v>1127.7790797645962</v>
      </c>
    </row>
    <row r="58" spans="6:8" ht="12.75">
      <c r="F58" s="5"/>
      <c r="G58" s="5"/>
      <c r="H58" s="5"/>
    </row>
    <row r="59" spans="1:8" ht="12.75">
      <c r="A59" t="s">
        <v>68</v>
      </c>
      <c r="F59" s="5"/>
      <c r="G59" s="5"/>
      <c r="H59" s="5"/>
    </row>
    <row r="60" spans="1:8" ht="12.75">
      <c r="A60" t="s">
        <v>69</v>
      </c>
      <c r="F60" s="5">
        <f>+H9</f>
        <v>254.37</v>
      </c>
      <c r="H60" s="5">
        <f>+H9</f>
        <v>254.37</v>
      </c>
    </row>
    <row r="61" spans="1:8" ht="12.75">
      <c r="A61" t="s">
        <v>70</v>
      </c>
      <c r="F61" s="5">
        <v>0</v>
      </c>
      <c r="H61" s="5">
        <v>0</v>
      </c>
    </row>
    <row r="62" spans="6:8" ht="12.75">
      <c r="F62" s="51" t="s">
        <v>71</v>
      </c>
      <c r="H62" s="51" t="s">
        <v>71</v>
      </c>
    </row>
    <row r="63" spans="1:8" ht="12.75">
      <c r="A63" t="s">
        <v>72</v>
      </c>
      <c r="F63" s="5">
        <f>F60+F61</f>
        <v>254.37</v>
      </c>
      <c r="G63" s="5"/>
      <c r="H63" s="5">
        <f>H60+H61</f>
        <v>254.37</v>
      </c>
    </row>
    <row r="64" spans="6:8" ht="12.75">
      <c r="F64" s="5"/>
      <c r="G64" s="5"/>
      <c r="H64" s="5"/>
    </row>
    <row r="66" spans="6:8" ht="12.75">
      <c r="F66" s="5"/>
      <c r="G66" s="5"/>
      <c r="H66" s="52"/>
    </row>
    <row r="67" spans="1:8" ht="12.75">
      <c r="A67" t="s">
        <v>77</v>
      </c>
      <c r="F67" s="5">
        <f>F57-F63</f>
        <v>1225.9727348303868</v>
      </c>
      <c r="G67" s="5"/>
      <c r="H67" s="7">
        <f>H57-H63</f>
        <v>873.4090797645962</v>
      </c>
    </row>
    <row r="68" spans="6:8" ht="12.75">
      <c r="F68" s="5"/>
      <c r="G68" s="5"/>
      <c r="H68" s="52"/>
    </row>
    <row r="69" spans="1:8" ht="12.75">
      <c r="A69" t="s">
        <v>88</v>
      </c>
      <c r="F69" s="60">
        <f>+C8/1000</f>
        <v>10.51122790253225</v>
      </c>
      <c r="G69" s="61"/>
      <c r="H69" s="62">
        <f>+F69</f>
        <v>10.51122790253225</v>
      </c>
    </row>
    <row r="70" spans="6:8" ht="13.5" thickBot="1">
      <c r="F70" s="5"/>
      <c r="G70" s="5"/>
      <c r="H70" s="52"/>
    </row>
    <row r="71" spans="1:8" ht="16.5" thickBot="1" thickTop="1">
      <c r="A71" t="s">
        <v>91</v>
      </c>
      <c r="F71" s="5">
        <f>F67/F69</f>
        <v>116.6345879090909</v>
      </c>
      <c r="G71" s="5"/>
      <c r="H71" s="64">
        <f>H67/H69</f>
        <v>83.09296381578636</v>
      </c>
    </row>
    <row r="72" ht="13.5" thickTop="1"/>
    <row r="73" spans="1:7" ht="14.25">
      <c r="A73" t="s">
        <v>90</v>
      </c>
      <c r="G73" s="63">
        <f>(H71+F71)/2</f>
        <v>99.86377586243863</v>
      </c>
    </row>
    <row r="77" spans="1:7" ht="12.75">
      <c r="A77" t="s">
        <v>80</v>
      </c>
      <c r="B77" s="56">
        <f>+H2</f>
        <v>39414</v>
      </c>
      <c r="G77" t="s">
        <v>74</v>
      </c>
    </row>
  </sheetData>
  <mergeCells count="1">
    <mergeCell ref="A52:H52"/>
  </mergeCells>
  <printOptions horizontalCentered="1"/>
  <pageMargins left="0.7874015748031497" right="0.7874015748031497" top="0.984251968503937" bottom="0.984251968503937" header="0.5118110236220472" footer="0.1968503937007874"/>
  <pageSetup horizontalDpi="600" verticalDpi="600" orientation="portrait" r:id="rId1"/>
  <headerFooter alignWithMargins="0">
    <oddFooter>&amp;C17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4" sqref="A4"/>
    </sheetView>
  </sheetViews>
  <sheetFormatPr defaultColWidth="11.421875" defaultRowHeight="12.75"/>
  <cols>
    <col min="3" max="3" width="10.7109375" style="0" customWidth="1"/>
    <col min="5" max="5" width="10.421875" style="0" customWidth="1"/>
  </cols>
  <sheetData>
    <row r="1" spans="2:7" ht="15.75">
      <c r="B1" s="21" t="s">
        <v>103</v>
      </c>
      <c r="E1" s="2"/>
      <c r="F1" s="2"/>
      <c r="G1" s="2"/>
    </row>
    <row r="2" spans="3:8" ht="13.5" customHeight="1">
      <c r="C2" s="68" t="s">
        <v>137</v>
      </c>
      <c r="H2" s="28">
        <v>39414</v>
      </c>
    </row>
    <row r="3" ht="12.75">
      <c r="B3" s="15" t="s">
        <v>125</v>
      </c>
    </row>
    <row r="4" ht="12.75">
      <c r="B4" s="15"/>
    </row>
    <row r="5" spans="1:8" ht="12.75">
      <c r="A5" s="16" t="s">
        <v>2</v>
      </c>
      <c r="B5" s="1"/>
      <c r="C5" s="16" t="s">
        <v>3</v>
      </c>
      <c r="D5" s="16" t="s">
        <v>4</v>
      </c>
      <c r="E5" s="16" t="s">
        <v>5</v>
      </c>
      <c r="F5" s="4" t="s">
        <v>6</v>
      </c>
      <c r="G5" s="16" t="s">
        <v>7</v>
      </c>
      <c r="H5" s="3" t="s">
        <v>8</v>
      </c>
    </row>
    <row r="6" spans="3:8" ht="12.75">
      <c r="C6" s="1"/>
      <c r="D6" s="1"/>
      <c r="E6" s="1"/>
      <c r="F6" s="16" t="s">
        <v>9</v>
      </c>
      <c r="G6" s="1"/>
      <c r="H6" s="17" t="s">
        <v>10</v>
      </c>
    </row>
    <row r="7" spans="1:8" ht="12.75">
      <c r="A7" s="9" t="s">
        <v>11</v>
      </c>
      <c r="C7" s="23"/>
      <c r="D7" s="1"/>
      <c r="E7" s="1"/>
      <c r="F7" s="3"/>
      <c r="G7" s="1"/>
      <c r="H7" s="4"/>
    </row>
    <row r="8" spans="1:8" ht="15">
      <c r="A8" s="8" t="s">
        <v>12</v>
      </c>
      <c r="B8" s="1"/>
      <c r="C8" s="40">
        <v>8800</v>
      </c>
      <c r="D8" s="7">
        <v>152</v>
      </c>
      <c r="E8" s="32">
        <v>1000</v>
      </c>
      <c r="F8" s="5">
        <v>1337.6</v>
      </c>
      <c r="G8" s="5">
        <f>+F8</f>
        <v>1337.6</v>
      </c>
      <c r="H8" s="7">
        <f>C8*D8/E8</f>
        <v>1337.6</v>
      </c>
    </row>
    <row r="9" spans="1:8" ht="12.75">
      <c r="A9" s="24" t="s">
        <v>119</v>
      </c>
      <c r="C9" s="32">
        <v>7900</v>
      </c>
      <c r="D9" s="7">
        <v>32.2</v>
      </c>
      <c r="E9" s="32">
        <v>1000</v>
      </c>
      <c r="F9" s="13">
        <v>254.37</v>
      </c>
      <c r="G9" s="5">
        <f>+F9</f>
        <v>254.37</v>
      </c>
      <c r="H9" s="5">
        <v>254.37</v>
      </c>
    </row>
    <row r="10" spans="1:8" ht="12.75">
      <c r="A10" t="s">
        <v>26</v>
      </c>
      <c r="D10" s="5">
        <f>SUM(D8:D9)</f>
        <v>184.2</v>
      </c>
      <c r="F10" s="5">
        <f>SUM(F8:F9)</f>
        <v>1591.9699999999998</v>
      </c>
      <c r="G10" s="5">
        <f>SUM(G8:G9)</f>
        <v>1591.9699999999998</v>
      </c>
      <c r="H10" s="5">
        <f>SUM(H8:H9)</f>
        <v>1591.9699999999998</v>
      </c>
    </row>
    <row r="11" spans="1:8" ht="15" customHeight="1">
      <c r="A11" s="9" t="s">
        <v>13</v>
      </c>
      <c r="F11" s="5"/>
      <c r="G11" s="5"/>
      <c r="H11" s="5"/>
    </row>
    <row r="12" spans="1:7" ht="12.75">
      <c r="A12" s="12" t="s">
        <v>14</v>
      </c>
      <c r="F12" s="5"/>
      <c r="G12" s="5"/>
    </row>
    <row r="13" spans="1:8" ht="12.75">
      <c r="A13" t="s">
        <v>97</v>
      </c>
      <c r="C13">
        <v>80000</v>
      </c>
      <c r="D13" s="5">
        <v>155</v>
      </c>
      <c r="E13">
        <v>80000</v>
      </c>
      <c r="F13" s="5">
        <v>155</v>
      </c>
      <c r="G13" s="5">
        <f>+F13</f>
        <v>155</v>
      </c>
      <c r="H13" s="5">
        <f>C13*D13/E13</f>
        <v>155</v>
      </c>
    </row>
    <row r="14" spans="1:8" ht="12.75">
      <c r="A14" t="s">
        <v>15</v>
      </c>
      <c r="D14" s="5"/>
      <c r="F14" s="5"/>
      <c r="G14" s="5"/>
      <c r="H14" s="5"/>
    </row>
    <row r="15" spans="1:8" ht="12.75">
      <c r="A15" s="10" t="s">
        <v>16</v>
      </c>
      <c r="C15" s="32">
        <v>125</v>
      </c>
      <c r="D15" s="5">
        <v>422</v>
      </c>
      <c r="E15" s="32">
        <v>1000</v>
      </c>
      <c r="F15" s="5">
        <v>52.75</v>
      </c>
      <c r="G15" s="5">
        <f>+F15</f>
        <v>52.75</v>
      </c>
      <c r="H15" s="5">
        <f>C15*D15/E15</f>
        <v>52.75</v>
      </c>
    </row>
    <row r="16" spans="1:8" ht="12.75">
      <c r="A16" s="10" t="s">
        <v>17</v>
      </c>
      <c r="C16" s="32">
        <v>225</v>
      </c>
      <c r="D16" s="5">
        <v>509.5</v>
      </c>
      <c r="E16" s="32">
        <v>1000</v>
      </c>
      <c r="F16" s="5">
        <v>114.64</v>
      </c>
      <c r="G16" s="5">
        <f aca="true" t="shared" si="0" ref="G16:G21">+F16</f>
        <v>114.64</v>
      </c>
      <c r="H16" s="5">
        <f aca="true" t="shared" si="1" ref="H16:H21">C16*D16/E16</f>
        <v>114.6375</v>
      </c>
    </row>
    <row r="17" spans="1:9" ht="12.75">
      <c r="A17" s="10" t="s">
        <v>18</v>
      </c>
      <c r="C17" s="32">
        <v>68.5</v>
      </c>
      <c r="D17" s="5">
        <v>340</v>
      </c>
      <c r="E17" s="32">
        <v>200</v>
      </c>
      <c r="F17" s="5">
        <v>116.45</v>
      </c>
      <c r="G17" s="5">
        <f t="shared" si="0"/>
        <v>116.45</v>
      </c>
      <c r="H17" s="5">
        <f t="shared" si="1"/>
        <v>116.45</v>
      </c>
      <c r="I17" s="6">
        <f>H15+H16+H17</f>
        <v>283.8375</v>
      </c>
    </row>
    <row r="18" spans="1:8" ht="12.75">
      <c r="A18" t="s">
        <v>19</v>
      </c>
      <c r="C18" s="32">
        <v>0.5</v>
      </c>
      <c r="D18" s="5">
        <v>30</v>
      </c>
      <c r="E18" s="32">
        <v>1</v>
      </c>
      <c r="F18" s="5">
        <v>15</v>
      </c>
      <c r="G18" s="5">
        <f t="shared" si="0"/>
        <v>15</v>
      </c>
      <c r="H18" s="5">
        <f t="shared" si="1"/>
        <v>15</v>
      </c>
    </row>
    <row r="19" spans="1:8" ht="12.75">
      <c r="A19" s="10" t="s">
        <v>45</v>
      </c>
      <c r="C19" s="32"/>
      <c r="D19" s="5"/>
      <c r="E19" s="32"/>
      <c r="F19" s="5"/>
      <c r="G19" s="5">
        <f t="shared" si="0"/>
        <v>0</v>
      </c>
      <c r="H19" s="5"/>
    </row>
    <row r="20" spans="1:8" ht="12.75">
      <c r="A20" t="s">
        <v>20</v>
      </c>
      <c r="C20" s="32">
        <v>1.25</v>
      </c>
      <c r="D20" s="5">
        <v>44.8</v>
      </c>
      <c r="E20" s="32">
        <v>1</v>
      </c>
      <c r="F20" s="5">
        <v>56</v>
      </c>
      <c r="G20" s="5">
        <f t="shared" si="0"/>
        <v>56</v>
      </c>
      <c r="H20" s="5">
        <f t="shared" si="1"/>
        <v>56</v>
      </c>
    </row>
    <row r="21" spans="1:8" ht="12.75">
      <c r="A21" t="s">
        <v>21</v>
      </c>
      <c r="C21" s="32">
        <v>4.5</v>
      </c>
      <c r="D21" s="5">
        <v>119.49</v>
      </c>
      <c r="E21" s="32">
        <v>10</v>
      </c>
      <c r="F21" s="5">
        <v>53.77</v>
      </c>
      <c r="G21" s="5">
        <f t="shared" si="0"/>
        <v>53.77</v>
      </c>
      <c r="H21" s="5">
        <f t="shared" si="1"/>
        <v>53.77049999999999</v>
      </c>
    </row>
    <row r="22" spans="1:8" ht="12.75">
      <c r="A22" s="10" t="s">
        <v>53</v>
      </c>
      <c r="F22" s="30">
        <f>SUM(F13:F21)</f>
        <v>563.61</v>
      </c>
      <c r="G22" s="6">
        <f>+F22</f>
        <v>563.61</v>
      </c>
      <c r="H22" s="11">
        <f>SUM(H13:H21)</f>
        <v>563.608</v>
      </c>
    </row>
    <row r="23" spans="1:8" ht="15" customHeight="1">
      <c r="A23" s="12" t="s">
        <v>22</v>
      </c>
      <c r="F23" s="16" t="s">
        <v>23</v>
      </c>
      <c r="G23" s="29" t="s">
        <v>24</v>
      </c>
      <c r="H23" s="5"/>
    </row>
    <row r="24" spans="1:8" ht="15" customHeight="1">
      <c r="A24" s="10" t="s">
        <v>55</v>
      </c>
      <c r="F24" s="5">
        <v>7.62</v>
      </c>
      <c r="G24" s="5">
        <f>0.73*2</f>
        <v>1.46</v>
      </c>
      <c r="H24" s="5">
        <f aca="true" t="shared" si="2" ref="H24:H29">+G24</f>
        <v>1.46</v>
      </c>
    </row>
    <row r="25" spans="1:8" ht="12.75">
      <c r="A25" s="10" t="s">
        <v>82</v>
      </c>
      <c r="F25" s="5">
        <v>39.28</v>
      </c>
      <c r="G25" s="5">
        <v>8.92</v>
      </c>
      <c r="H25" s="5">
        <f>+G25</f>
        <v>8.92</v>
      </c>
    </row>
    <row r="26" spans="1:8" ht="12.75">
      <c r="A26" s="10" t="s">
        <v>56</v>
      </c>
      <c r="F26" s="5">
        <v>11.77</v>
      </c>
      <c r="G26" s="5">
        <v>2.37</v>
      </c>
      <c r="H26" s="5">
        <f t="shared" si="2"/>
        <v>2.37</v>
      </c>
    </row>
    <row r="27" spans="1:8" ht="12.75">
      <c r="A27" t="s">
        <v>142</v>
      </c>
      <c r="F27" s="5">
        <v>27.5</v>
      </c>
      <c r="G27" s="5">
        <v>5.24</v>
      </c>
      <c r="H27" s="5">
        <f t="shared" si="2"/>
        <v>5.24</v>
      </c>
    </row>
    <row r="28" spans="1:8" ht="12.75">
      <c r="A28" t="s">
        <v>66</v>
      </c>
      <c r="F28" s="5">
        <v>74.5</v>
      </c>
      <c r="G28" s="5">
        <v>24.4</v>
      </c>
      <c r="H28" s="30">
        <f>+G28</f>
        <v>24.4</v>
      </c>
    </row>
    <row r="29" spans="1:8" ht="12.75">
      <c r="A29" t="s">
        <v>104</v>
      </c>
      <c r="F29" s="5">
        <v>28.01</v>
      </c>
      <c r="G29" s="5">
        <v>8.3</v>
      </c>
      <c r="H29" s="5">
        <f t="shared" si="2"/>
        <v>8.3</v>
      </c>
    </row>
    <row r="30" spans="1:8" ht="12.75">
      <c r="A30" t="s">
        <v>107</v>
      </c>
      <c r="D30" s="5">
        <v>6</v>
      </c>
      <c r="E30" t="s">
        <v>43</v>
      </c>
      <c r="F30" s="5">
        <f>D30*C8/1000</f>
        <v>52.8</v>
      </c>
      <c r="G30" s="5">
        <v>8.3</v>
      </c>
      <c r="H30" s="5">
        <v>8.3</v>
      </c>
    </row>
    <row r="31" spans="1:8" ht="14.25" customHeight="1">
      <c r="A31" t="s">
        <v>26</v>
      </c>
      <c r="F31" s="30">
        <f>SUM(F24:F30)</f>
        <v>241.48000000000002</v>
      </c>
      <c r="G31" s="30">
        <f>SUM(G24:G30)</f>
        <v>58.989999999999995</v>
      </c>
      <c r="H31" s="30">
        <f>SUM(H24:H30)</f>
        <v>58.989999999999995</v>
      </c>
    </row>
    <row r="32" ht="15" customHeight="1">
      <c r="A32" s="12" t="s">
        <v>27</v>
      </c>
    </row>
    <row r="33" spans="1:9" ht="12.75">
      <c r="A33" s="10" t="s">
        <v>28</v>
      </c>
      <c r="C33" s="32">
        <f>+C8</f>
        <v>8800</v>
      </c>
      <c r="D33" s="5">
        <v>26.01</v>
      </c>
      <c r="E33" s="32">
        <v>1000</v>
      </c>
      <c r="F33" s="5">
        <f>C33*I33/E33</f>
        <v>272.8</v>
      </c>
      <c r="G33" s="5">
        <v>228.89</v>
      </c>
      <c r="H33" s="5">
        <f>C33*D33/E33</f>
        <v>228.888</v>
      </c>
      <c r="I33" s="32">
        <v>31</v>
      </c>
    </row>
    <row r="34" spans="1:9" ht="12.75">
      <c r="A34" t="s">
        <v>52</v>
      </c>
      <c r="C34" s="32">
        <f>+C8</f>
        <v>8800</v>
      </c>
      <c r="D34" s="5">
        <v>1.3</v>
      </c>
      <c r="E34" s="32">
        <v>1000</v>
      </c>
      <c r="F34" s="5">
        <f>C34*I34/E34</f>
        <v>55.088</v>
      </c>
      <c r="G34" s="5">
        <v>11.44</v>
      </c>
      <c r="H34" s="5">
        <f>C34*D34/E34</f>
        <v>11.44</v>
      </c>
      <c r="I34" s="38">
        <v>6.26</v>
      </c>
    </row>
    <row r="35" spans="1:9" ht="12.75">
      <c r="A35" s="25" t="s">
        <v>30</v>
      </c>
      <c r="C35" s="32">
        <f>C8</f>
        <v>8800</v>
      </c>
      <c r="D35" s="5">
        <v>9.5</v>
      </c>
      <c r="E35" s="32">
        <v>1000</v>
      </c>
      <c r="F35" s="5">
        <v>83.6</v>
      </c>
      <c r="G35" s="5">
        <v>83.6</v>
      </c>
      <c r="H35" s="5">
        <f>C35*D35/E35</f>
        <v>83.6</v>
      </c>
      <c r="I35" s="38"/>
    </row>
    <row r="36" spans="1:9" ht="12.75">
      <c r="A36" t="s">
        <v>33</v>
      </c>
      <c r="C36" s="32">
        <f>+C8</f>
        <v>8800</v>
      </c>
      <c r="D36" s="5">
        <f>0.85+0.45</f>
        <v>1.3</v>
      </c>
      <c r="E36" s="32">
        <v>1000</v>
      </c>
      <c r="F36" s="5">
        <v>11.44</v>
      </c>
      <c r="G36" s="5">
        <v>11.44</v>
      </c>
      <c r="H36" s="5">
        <f>C36*D36/E36</f>
        <v>11.44</v>
      </c>
      <c r="I36" s="22"/>
    </row>
    <row r="37" spans="1:8" ht="12.75">
      <c r="A37" s="24" t="s">
        <v>31</v>
      </c>
      <c r="F37" s="6">
        <f>SUM(F33:F36)</f>
        <v>422.92800000000005</v>
      </c>
      <c r="G37" s="6">
        <f>SUM(G33:G36)</f>
        <v>335.36999999999995</v>
      </c>
      <c r="H37" s="6">
        <f>SUM(H33:H36)</f>
        <v>335.368</v>
      </c>
    </row>
    <row r="38" ht="15" customHeight="1">
      <c r="A38" s="18" t="s">
        <v>32</v>
      </c>
    </row>
    <row r="39" spans="1:8" ht="12.75">
      <c r="A39" t="s">
        <v>60</v>
      </c>
      <c r="C39" s="32">
        <f>C8</f>
        <v>8800</v>
      </c>
      <c r="D39" s="5">
        <v>174</v>
      </c>
      <c r="E39" s="42">
        <v>0.0328</v>
      </c>
      <c r="F39" s="5">
        <v>42.69</v>
      </c>
      <c r="G39" s="5">
        <f>+F39</f>
        <v>42.69</v>
      </c>
      <c r="H39" s="5">
        <f>C39/1000*0.85*D39*E39</f>
        <v>42.689856000000006</v>
      </c>
    </row>
    <row r="40" spans="1:8" ht="12.75">
      <c r="A40" t="s">
        <v>121</v>
      </c>
      <c r="D40" s="5"/>
      <c r="F40" s="5">
        <v>102.06</v>
      </c>
      <c r="G40" s="5">
        <f>+F40</f>
        <v>102.06</v>
      </c>
      <c r="H40" s="5">
        <v>102.06</v>
      </c>
    </row>
    <row r="41" spans="1:8" ht="12.75">
      <c r="A41" t="s">
        <v>34</v>
      </c>
      <c r="C41" s="32">
        <v>5</v>
      </c>
      <c r="D41" s="5">
        <v>14</v>
      </c>
      <c r="E41" s="32">
        <v>1</v>
      </c>
      <c r="F41" s="5">
        <v>0</v>
      </c>
      <c r="G41" s="5">
        <v>70</v>
      </c>
      <c r="H41" s="5">
        <f>C41*D41/E41</f>
        <v>70</v>
      </c>
    </row>
    <row r="42" spans="1:8" ht="12.75">
      <c r="A42" s="10" t="s">
        <v>49</v>
      </c>
      <c r="F42" s="13">
        <f>8000*0.03</f>
        <v>240</v>
      </c>
      <c r="G42" s="5">
        <v>0</v>
      </c>
      <c r="H42" s="5">
        <v>0</v>
      </c>
    </row>
    <row r="43" spans="1:8" ht="12.75">
      <c r="A43" s="10" t="s">
        <v>143</v>
      </c>
      <c r="F43" s="13">
        <f>8000*0.67/100</f>
        <v>53.6</v>
      </c>
      <c r="G43" s="5">
        <f>+H43</f>
        <v>74</v>
      </c>
      <c r="H43" s="13">
        <f>8000*0.925/100</f>
        <v>74</v>
      </c>
    </row>
    <row r="44" spans="1:8" ht="12.75">
      <c r="A44" t="s">
        <v>35</v>
      </c>
      <c r="C44" s="22">
        <f>H22+H31+H37+SUM(H39:H43)</f>
        <v>1246.7158559999998</v>
      </c>
      <c r="D44" s="66">
        <v>0.075</v>
      </c>
      <c r="E44" s="32">
        <v>9</v>
      </c>
      <c r="F44" s="5">
        <v>70.13</v>
      </c>
      <c r="G44" s="5">
        <f>+F44</f>
        <v>70.13</v>
      </c>
      <c r="H44" s="5">
        <f>C44*D44*E44/12</f>
        <v>70.12776689999998</v>
      </c>
    </row>
    <row r="45" spans="1:8" ht="12.75">
      <c r="A45" t="s">
        <v>36</v>
      </c>
      <c r="E45" s="35" t="s">
        <v>61</v>
      </c>
      <c r="F45" s="5">
        <f>SUM(F39:F44)</f>
        <v>508.48</v>
      </c>
      <c r="G45" s="5">
        <f>SUM(G39:G44)</f>
        <v>358.88</v>
      </c>
      <c r="H45" s="5">
        <f>SUM(H39:H44)</f>
        <v>358.8776229</v>
      </c>
    </row>
    <row r="46" spans="6:8" ht="12.75">
      <c r="F46" s="5"/>
      <c r="G46" s="5"/>
      <c r="H46" s="5"/>
    </row>
    <row r="47" spans="1:8" ht="12.75">
      <c r="A47" s="10" t="s">
        <v>38</v>
      </c>
      <c r="F47" s="5">
        <f>F22+F31+F37+F45</f>
        <v>1736.498</v>
      </c>
      <c r="G47" s="5">
        <f>G22+G31+G37+G45</f>
        <v>1316.85</v>
      </c>
      <c r="H47" s="5">
        <f>H22+H31+H37+H45</f>
        <v>1316.8436229</v>
      </c>
    </row>
    <row r="48" spans="1:8" ht="15">
      <c r="A48" s="9" t="s">
        <v>47</v>
      </c>
      <c r="F48" s="31">
        <f>F10-F47</f>
        <v>-144.52800000000025</v>
      </c>
      <c r="G48" s="31">
        <f>G10-G47</f>
        <v>275.1199999999999</v>
      </c>
      <c r="H48" s="41">
        <f>H10-H47</f>
        <v>275.1263770999999</v>
      </c>
    </row>
    <row r="49" spans="1:8" ht="12.75">
      <c r="A49" t="s">
        <v>40</v>
      </c>
      <c r="F49" s="5"/>
      <c r="G49" s="5"/>
      <c r="H49" s="5">
        <f>H47/(C8/1000)</f>
        <v>149.64132078409088</v>
      </c>
    </row>
    <row r="50" spans="6:8" ht="12.75">
      <c r="F50" s="5"/>
      <c r="G50" s="5"/>
      <c r="H50" s="5"/>
    </row>
  </sheetData>
  <printOptions horizontalCentered="1"/>
  <pageMargins left="0.7874015748031497" right="0.7874015748031497" top="0.984251968503937" bottom="0.984251968503937" header="0.5118110236220472" footer="0.7480314960629921"/>
  <pageSetup horizontalDpi="600" verticalDpi="600" orientation="portrait" r:id="rId1"/>
  <headerFooter alignWithMargins="0">
    <oddFooter>&amp;C18 a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"/>
    </sheetView>
  </sheetViews>
  <sheetFormatPr defaultColWidth="11.421875" defaultRowHeight="12.75"/>
  <cols>
    <col min="3" max="3" width="9.8515625" style="0" customWidth="1"/>
  </cols>
  <sheetData>
    <row r="1" spans="2:7" ht="15.75">
      <c r="B1" s="21" t="s">
        <v>103</v>
      </c>
      <c r="E1" s="2"/>
      <c r="F1" s="2"/>
      <c r="G1" s="2"/>
    </row>
    <row r="2" spans="3:8" ht="15.75">
      <c r="C2" s="68" t="s">
        <v>138</v>
      </c>
      <c r="H2" s="28">
        <v>39414</v>
      </c>
    </row>
    <row r="3" ht="12.75">
      <c r="B3" s="15" t="s">
        <v>125</v>
      </c>
    </row>
    <row r="4" ht="12.75">
      <c r="B4" s="15"/>
    </row>
    <row r="5" spans="1:8" ht="12.75">
      <c r="A5" s="16" t="s">
        <v>2</v>
      </c>
      <c r="B5" s="1"/>
      <c r="C5" s="16" t="s">
        <v>3</v>
      </c>
      <c r="D5" s="16" t="s">
        <v>4</v>
      </c>
      <c r="E5" s="16" t="s">
        <v>5</v>
      </c>
      <c r="F5" s="4" t="s">
        <v>6</v>
      </c>
      <c r="G5" s="16" t="s">
        <v>7</v>
      </c>
      <c r="H5" s="3" t="s">
        <v>8</v>
      </c>
    </row>
    <row r="6" spans="3:8" ht="12.75">
      <c r="C6" s="1"/>
      <c r="D6" s="1"/>
      <c r="E6" s="1"/>
      <c r="F6" s="16" t="s">
        <v>9</v>
      </c>
      <c r="G6" s="1"/>
      <c r="H6" s="17" t="s">
        <v>10</v>
      </c>
    </row>
    <row r="7" spans="1:8" ht="12.75">
      <c r="A7" s="9" t="s">
        <v>11</v>
      </c>
      <c r="C7" s="23"/>
      <c r="D7" s="1"/>
      <c r="E7" s="1"/>
      <c r="F7" s="3"/>
      <c r="G7" s="1"/>
      <c r="H7" s="4"/>
    </row>
    <row r="8" spans="1:8" ht="14.25">
      <c r="A8" s="8" t="s">
        <v>134</v>
      </c>
      <c r="B8" s="1"/>
      <c r="C8" s="69">
        <v>8800</v>
      </c>
      <c r="D8" s="48">
        <v>141</v>
      </c>
      <c r="E8" s="32">
        <v>1000</v>
      </c>
      <c r="F8" s="5">
        <v>1240.8</v>
      </c>
      <c r="G8" s="5">
        <f>+F8</f>
        <v>1240.8</v>
      </c>
      <c r="H8" s="7">
        <f>C8*D8/E8</f>
        <v>1240.8</v>
      </c>
    </row>
    <row r="9" spans="1:8" ht="12.75">
      <c r="A9" s="24" t="s">
        <v>119</v>
      </c>
      <c r="C9" s="32">
        <v>7900</v>
      </c>
      <c r="D9" s="7">
        <v>32.2</v>
      </c>
      <c r="E9" s="32">
        <v>1000</v>
      </c>
      <c r="F9" s="13">
        <v>254.37</v>
      </c>
      <c r="G9" s="5">
        <f>+F9</f>
        <v>254.37</v>
      </c>
      <c r="H9" s="5">
        <v>254.37</v>
      </c>
    </row>
    <row r="10" spans="1:8" ht="12.75">
      <c r="A10" s="23" t="s">
        <v>136</v>
      </c>
      <c r="D10" s="5">
        <f>SUM(D8:D9)</f>
        <v>173.2</v>
      </c>
      <c r="F10" s="5">
        <f>SUM(F8:F9)</f>
        <v>1495.17</v>
      </c>
      <c r="G10" s="5">
        <f>SUM(G8:G9)</f>
        <v>1495.17</v>
      </c>
      <c r="H10" s="5">
        <f>SUM(H8:H9)</f>
        <v>1495.17</v>
      </c>
    </row>
    <row r="11" spans="1:8" ht="15.75" customHeight="1">
      <c r="A11" s="9" t="s">
        <v>13</v>
      </c>
      <c r="C11" s="45" t="s">
        <v>135</v>
      </c>
      <c r="F11" s="5"/>
      <c r="G11" s="5"/>
      <c r="H11" s="5"/>
    </row>
    <row r="12" spans="1:7" ht="12.75">
      <c r="A12" s="12" t="s">
        <v>14</v>
      </c>
      <c r="F12" s="5"/>
      <c r="G12" s="5"/>
    </row>
    <row r="13" spans="1:8" ht="12.75">
      <c r="A13" t="s">
        <v>97</v>
      </c>
      <c r="C13">
        <v>80000</v>
      </c>
      <c r="D13" s="5">
        <v>155</v>
      </c>
      <c r="E13">
        <v>80000</v>
      </c>
      <c r="F13" s="5">
        <v>155</v>
      </c>
      <c r="G13" s="5">
        <f>+F13</f>
        <v>155</v>
      </c>
      <c r="H13" s="5">
        <f>C13*D13/E13</f>
        <v>155</v>
      </c>
    </row>
    <row r="14" spans="1:8" ht="12.75">
      <c r="A14" t="s">
        <v>15</v>
      </c>
      <c r="D14" s="5"/>
      <c r="F14" s="5"/>
      <c r="G14" s="5"/>
      <c r="H14" s="5"/>
    </row>
    <row r="15" spans="1:8" ht="12.75">
      <c r="A15" s="10" t="s">
        <v>16</v>
      </c>
      <c r="C15" s="32">
        <v>125</v>
      </c>
      <c r="D15" s="5">
        <v>422</v>
      </c>
      <c r="E15" s="32">
        <v>1000</v>
      </c>
      <c r="F15" s="5">
        <v>52.75</v>
      </c>
      <c r="G15" s="5">
        <f>+F15</f>
        <v>52.75</v>
      </c>
      <c r="H15" s="5">
        <f>C15*D15/E15</f>
        <v>52.75</v>
      </c>
    </row>
    <row r="16" spans="1:8" ht="12.75">
      <c r="A16" s="10" t="s">
        <v>17</v>
      </c>
      <c r="C16" s="32">
        <v>225</v>
      </c>
      <c r="D16" s="5">
        <v>509.5</v>
      </c>
      <c r="E16" s="32">
        <v>1000</v>
      </c>
      <c r="F16" s="5">
        <v>114.64</v>
      </c>
      <c r="G16" s="5">
        <f aca="true" t="shared" si="0" ref="G16:G21">+F16</f>
        <v>114.64</v>
      </c>
      <c r="H16" s="5">
        <f aca="true" t="shared" si="1" ref="H16:H21">C16*D16/E16</f>
        <v>114.6375</v>
      </c>
    </row>
    <row r="17" spans="1:9" ht="12.75">
      <c r="A17" s="10" t="s">
        <v>18</v>
      </c>
      <c r="C17" s="32">
        <v>68.5</v>
      </c>
      <c r="D17" s="5">
        <v>340</v>
      </c>
      <c r="E17" s="32">
        <v>200</v>
      </c>
      <c r="F17" s="5">
        <v>116.45</v>
      </c>
      <c r="G17" s="5">
        <f t="shared" si="0"/>
        <v>116.45</v>
      </c>
      <c r="H17" s="5">
        <f t="shared" si="1"/>
        <v>116.45</v>
      </c>
      <c r="I17" s="6">
        <f>H15+H16+H17</f>
        <v>283.8375</v>
      </c>
    </row>
    <row r="18" spans="1:8" ht="12.75">
      <c r="A18" t="s">
        <v>19</v>
      </c>
      <c r="C18" s="32">
        <v>0.5</v>
      </c>
      <c r="D18" s="5">
        <v>30</v>
      </c>
      <c r="E18" s="32">
        <v>1</v>
      </c>
      <c r="F18" s="5">
        <v>15</v>
      </c>
      <c r="G18" s="5">
        <f t="shared" si="0"/>
        <v>15</v>
      </c>
      <c r="H18" s="5">
        <f t="shared" si="1"/>
        <v>15</v>
      </c>
    </row>
    <row r="19" spans="1:8" ht="12.75">
      <c r="A19" s="10" t="s">
        <v>45</v>
      </c>
      <c r="C19" s="32"/>
      <c r="D19" s="5"/>
      <c r="E19" s="32"/>
      <c r="F19" s="5"/>
      <c r="G19" s="5">
        <f t="shared" si="0"/>
        <v>0</v>
      </c>
      <c r="H19" s="5"/>
    </row>
    <row r="20" spans="1:8" ht="12.75">
      <c r="A20" t="s">
        <v>20</v>
      </c>
      <c r="C20" s="32">
        <v>1.25</v>
      </c>
      <c r="D20" s="5">
        <v>44.8</v>
      </c>
      <c r="E20" s="32">
        <v>1</v>
      </c>
      <c r="F20" s="5">
        <v>56</v>
      </c>
      <c r="G20" s="5">
        <f t="shared" si="0"/>
        <v>56</v>
      </c>
      <c r="H20" s="5">
        <f t="shared" si="1"/>
        <v>56</v>
      </c>
    </row>
    <row r="21" spans="1:8" ht="12.75">
      <c r="A21" t="s">
        <v>21</v>
      </c>
      <c r="C21" s="32">
        <v>4.5</v>
      </c>
      <c r="D21" s="5">
        <v>119.49</v>
      </c>
      <c r="E21" s="32">
        <v>10</v>
      </c>
      <c r="F21" s="5">
        <v>53.77</v>
      </c>
      <c r="G21" s="5">
        <f t="shared" si="0"/>
        <v>53.77</v>
      </c>
      <c r="H21" s="5">
        <f t="shared" si="1"/>
        <v>53.77049999999999</v>
      </c>
    </row>
    <row r="22" spans="1:8" ht="12.75">
      <c r="A22" s="10" t="s">
        <v>53</v>
      </c>
      <c r="F22" s="30">
        <f>SUM(F13:F21)</f>
        <v>563.61</v>
      </c>
      <c r="G22" s="6">
        <f>+F22</f>
        <v>563.61</v>
      </c>
      <c r="H22" s="11">
        <f>SUM(H13:H21)</f>
        <v>563.608</v>
      </c>
    </row>
    <row r="23" spans="1:8" ht="17.25" customHeight="1">
      <c r="A23" s="12" t="s">
        <v>22</v>
      </c>
      <c r="F23" s="16" t="s">
        <v>23</v>
      </c>
      <c r="G23" s="29" t="s">
        <v>24</v>
      </c>
      <c r="H23" s="5"/>
    </row>
    <row r="24" spans="1:8" ht="15" customHeight="1">
      <c r="A24" s="10" t="s">
        <v>55</v>
      </c>
      <c r="F24" s="5">
        <v>7.62</v>
      </c>
      <c r="G24" s="5">
        <f>0.73*2</f>
        <v>1.46</v>
      </c>
      <c r="H24" s="5">
        <f aca="true" t="shared" si="2" ref="H24:H29">+G24</f>
        <v>1.46</v>
      </c>
    </row>
    <row r="25" spans="1:8" ht="12.75">
      <c r="A25" s="10" t="s">
        <v>82</v>
      </c>
      <c r="F25" s="5">
        <v>39.28</v>
      </c>
      <c r="G25" s="5">
        <v>8.92</v>
      </c>
      <c r="H25" s="5">
        <f>+G25</f>
        <v>8.92</v>
      </c>
    </row>
    <row r="26" spans="1:8" ht="12.75">
      <c r="A26" s="10" t="s">
        <v>56</v>
      </c>
      <c r="F26" s="5">
        <v>11.77</v>
      </c>
      <c r="G26" s="5">
        <v>2.37</v>
      </c>
      <c r="H26" s="5">
        <f t="shared" si="2"/>
        <v>2.37</v>
      </c>
    </row>
    <row r="27" spans="1:8" ht="12.75">
      <c r="A27" t="s">
        <v>144</v>
      </c>
      <c r="F27" s="5">
        <v>27.5</v>
      </c>
      <c r="G27" s="5">
        <v>5.24</v>
      </c>
      <c r="H27" s="5">
        <f t="shared" si="2"/>
        <v>5.24</v>
      </c>
    </row>
    <row r="28" spans="1:8" ht="12.75">
      <c r="A28" t="s">
        <v>66</v>
      </c>
      <c r="F28" s="5">
        <v>74.5</v>
      </c>
      <c r="G28" s="5">
        <v>24.4</v>
      </c>
      <c r="H28" s="30">
        <f>+G28</f>
        <v>24.4</v>
      </c>
    </row>
    <row r="29" spans="1:8" ht="12.75">
      <c r="A29" t="s">
        <v>104</v>
      </c>
      <c r="F29" s="5">
        <v>28.01</v>
      </c>
      <c r="G29" s="5">
        <v>8.3</v>
      </c>
      <c r="H29" s="5">
        <f t="shared" si="2"/>
        <v>8.3</v>
      </c>
    </row>
    <row r="30" spans="1:8" ht="12.75">
      <c r="A30" t="s">
        <v>107</v>
      </c>
      <c r="D30" s="5">
        <v>6</v>
      </c>
      <c r="E30" t="s">
        <v>43</v>
      </c>
      <c r="F30" s="5">
        <f>D30*C8/1000</f>
        <v>52.8</v>
      </c>
      <c r="G30" s="5">
        <v>8.3</v>
      </c>
      <c r="H30" s="5">
        <v>8.3</v>
      </c>
    </row>
    <row r="31" spans="1:8" ht="12.75">
      <c r="A31" t="s">
        <v>26</v>
      </c>
      <c r="F31" s="30">
        <f>SUM(F24:F30)</f>
        <v>241.48000000000002</v>
      </c>
      <c r="G31" s="30">
        <f>SUM(G24:G30)</f>
        <v>58.989999999999995</v>
      </c>
      <c r="H31" s="30">
        <f>SUM(H24:H30)</f>
        <v>58.989999999999995</v>
      </c>
    </row>
    <row r="32" ht="15.75" customHeight="1">
      <c r="A32" s="12" t="s">
        <v>27</v>
      </c>
    </row>
    <row r="33" spans="1:9" ht="12.75">
      <c r="A33" s="10" t="s">
        <v>28</v>
      </c>
      <c r="C33" s="32">
        <f>+C8</f>
        <v>8800</v>
      </c>
      <c r="D33" s="5">
        <v>26.01</v>
      </c>
      <c r="E33" s="32">
        <v>1000</v>
      </c>
      <c r="F33" s="5">
        <f>C33*I33/E33</f>
        <v>272.8</v>
      </c>
      <c r="G33" s="5">
        <v>228.89</v>
      </c>
      <c r="H33" s="5">
        <f>C33*D33/E33</f>
        <v>228.888</v>
      </c>
      <c r="I33" s="32">
        <v>31</v>
      </c>
    </row>
    <row r="34" spans="1:9" ht="12.75">
      <c r="A34" t="s">
        <v>52</v>
      </c>
      <c r="C34" s="32">
        <f>+C8</f>
        <v>8800</v>
      </c>
      <c r="D34" s="5"/>
      <c r="E34" s="32">
        <v>1000</v>
      </c>
      <c r="F34" s="5">
        <v>0</v>
      </c>
      <c r="G34" s="5">
        <v>0</v>
      </c>
      <c r="H34" s="5">
        <f>C34*D34/E34</f>
        <v>0</v>
      </c>
      <c r="I34" s="38">
        <v>6.26</v>
      </c>
    </row>
    <row r="35" spans="1:9" ht="12.75">
      <c r="A35" s="25" t="s">
        <v>30</v>
      </c>
      <c r="C35" s="32">
        <f>C8</f>
        <v>8800</v>
      </c>
      <c r="D35" s="5">
        <v>0</v>
      </c>
      <c r="E35" s="32">
        <v>1000</v>
      </c>
      <c r="F35" s="5">
        <v>0</v>
      </c>
      <c r="G35" s="5">
        <v>0</v>
      </c>
      <c r="H35" s="5">
        <f>C35*D35/E35</f>
        <v>0</v>
      </c>
      <c r="I35" s="38"/>
    </row>
    <row r="36" spans="1:9" ht="12.75">
      <c r="A36" t="s">
        <v>33</v>
      </c>
      <c r="C36" s="32">
        <f>+C8</f>
        <v>8800</v>
      </c>
      <c r="D36" s="5">
        <f>0.85+0.45</f>
        <v>1.3</v>
      </c>
      <c r="E36" s="32">
        <v>1000</v>
      </c>
      <c r="F36" s="5">
        <v>11.44</v>
      </c>
      <c r="G36" s="5">
        <v>11.44</v>
      </c>
      <c r="H36" s="5">
        <f>C36*D36/E36</f>
        <v>11.44</v>
      </c>
      <c r="I36" s="22"/>
    </row>
    <row r="37" spans="1:8" ht="12.75">
      <c r="A37" s="24" t="s">
        <v>31</v>
      </c>
      <c r="F37" s="6">
        <f>SUM(F33:F36)</f>
        <v>284.24</v>
      </c>
      <c r="G37" s="6">
        <f>SUM(G33:G36)</f>
        <v>240.32999999999998</v>
      </c>
      <c r="H37" s="6">
        <f>SUM(H33:H36)</f>
        <v>240.328</v>
      </c>
    </row>
    <row r="38" ht="16.5" customHeight="1">
      <c r="A38" s="18" t="s">
        <v>32</v>
      </c>
    </row>
    <row r="39" spans="1:8" ht="12.75">
      <c r="A39" t="s">
        <v>60</v>
      </c>
      <c r="C39" s="32">
        <f>C8</f>
        <v>8800</v>
      </c>
      <c r="D39" s="5">
        <v>174</v>
      </c>
      <c r="E39" s="42">
        <v>0.0328</v>
      </c>
      <c r="F39" s="5">
        <v>42.69</v>
      </c>
      <c r="G39" s="5">
        <f>+F39</f>
        <v>42.69</v>
      </c>
      <c r="H39" s="5">
        <f>C39/1000*0.85*D39*E39</f>
        <v>42.689856000000006</v>
      </c>
    </row>
    <row r="40" spans="1:8" ht="12.75">
      <c r="A40" t="s">
        <v>121</v>
      </c>
      <c r="D40" s="5"/>
      <c r="F40" s="5">
        <v>102.06</v>
      </c>
      <c r="G40" s="5">
        <f>+F40</f>
        <v>102.06</v>
      </c>
      <c r="H40" s="5">
        <v>102.06</v>
      </c>
    </row>
    <row r="41" spans="1:8" ht="12.75">
      <c r="A41" t="s">
        <v>34</v>
      </c>
      <c r="C41" s="32">
        <v>5</v>
      </c>
      <c r="D41" s="5">
        <v>14</v>
      </c>
      <c r="E41" s="32">
        <v>1</v>
      </c>
      <c r="F41" s="5">
        <v>0</v>
      </c>
      <c r="G41" s="5">
        <v>70</v>
      </c>
      <c r="H41" s="5">
        <f>C41*D41/E41</f>
        <v>70</v>
      </c>
    </row>
    <row r="42" spans="1:8" ht="12.75">
      <c r="A42" s="10" t="s">
        <v>49</v>
      </c>
      <c r="F42" s="13">
        <f>8000*0.03</f>
        <v>240</v>
      </c>
      <c r="G42" s="5">
        <v>0</v>
      </c>
      <c r="H42" s="5">
        <v>0</v>
      </c>
    </row>
    <row r="43" spans="1:8" ht="12.75">
      <c r="A43" s="10" t="s">
        <v>143</v>
      </c>
      <c r="F43" s="13">
        <f>8000*0.67/100</f>
        <v>53.6</v>
      </c>
      <c r="G43" s="5">
        <f>+H43</f>
        <v>74</v>
      </c>
      <c r="H43" s="13">
        <f>8000*0.925/100</f>
        <v>74</v>
      </c>
    </row>
    <row r="44" spans="1:8" ht="12.75">
      <c r="A44" t="s">
        <v>35</v>
      </c>
      <c r="C44" s="22">
        <f>H22+H31+H37+SUM(H39:H43)</f>
        <v>1151.6758559999998</v>
      </c>
      <c r="D44" s="66">
        <v>0.075</v>
      </c>
      <c r="E44" s="32">
        <v>9</v>
      </c>
      <c r="F44" s="5">
        <v>64.78</v>
      </c>
      <c r="G44" s="5">
        <f>+F44</f>
        <v>64.78</v>
      </c>
      <c r="H44" s="5">
        <f>C44*D44*E44/12</f>
        <v>64.7817669</v>
      </c>
    </row>
    <row r="45" spans="1:8" ht="12.75">
      <c r="A45" t="s">
        <v>36</v>
      </c>
      <c r="E45" s="35" t="s">
        <v>61</v>
      </c>
      <c r="F45" s="5">
        <f>SUM(F39:F44)</f>
        <v>503.13</v>
      </c>
      <c r="G45" s="5">
        <f>SUM(G39:G44)</f>
        <v>353.53</v>
      </c>
      <c r="H45" s="5">
        <f>SUM(H39:H44)</f>
        <v>353.5316229</v>
      </c>
    </row>
    <row r="46" spans="6:8" ht="12.75">
      <c r="F46" s="5"/>
      <c r="G46" s="5"/>
      <c r="H46" s="5"/>
    </row>
    <row r="47" spans="1:8" ht="12.75">
      <c r="A47" s="10" t="s">
        <v>38</v>
      </c>
      <c r="F47" s="5">
        <f>F22+F31+F37+F45</f>
        <v>1592.46</v>
      </c>
      <c r="G47" s="5">
        <f>G22+G31+G37+G45</f>
        <v>1216.46</v>
      </c>
      <c r="H47" s="5">
        <f>H22+H31+H37+H45</f>
        <v>1216.4576229</v>
      </c>
    </row>
    <row r="48" spans="1:8" ht="15">
      <c r="A48" s="9" t="s">
        <v>47</v>
      </c>
      <c r="F48" s="31">
        <f>F10-F47</f>
        <v>-97.28999999999996</v>
      </c>
      <c r="G48" s="31">
        <f>G10-G47</f>
        <v>278.71000000000004</v>
      </c>
      <c r="H48" s="41">
        <f>H10-H47</f>
        <v>278.71237710000014</v>
      </c>
    </row>
    <row r="49" spans="1:8" ht="12.75">
      <c r="A49" t="s">
        <v>40</v>
      </c>
      <c r="F49" s="5"/>
      <c r="G49" s="5"/>
      <c r="H49" s="5">
        <f>H47/(C8/1000)</f>
        <v>138.23382078409088</v>
      </c>
    </row>
  </sheetData>
  <printOptions/>
  <pageMargins left="0.75" right="0.75" top="1" bottom="1" header="0.4921259845" footer="0.4921259845"/>
  <pageSetup orientation="portrait" r:id="rId1"/>
  <headerFooter alignWithMargins="0">
    <oddFooter>&amp;C18 b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"/>
    </sheetView>
  </sheetViews>
  <sheetFormatPr defaultColWidth="11.421875" defaultRowHeight="12.75"/>
  <cols>
    <col min="3" max="3" width="9.7109375" style="0" customWidth="1"/>
  </cols>
  <sheetData>
    <row r="1" spans="2:7" ht="15.75">
      <c r="B1" s="21" t="s">
        <v>105</v>
      </c>
      <c r="E1" s="2"/>
      <c r="F1" s="2"/>
      <c r="G1" s="2"/>
    </row>
    <row r="2" spans="2:7" ht="8.25" customHeight="1">
      <c r="B2" s="2"/>
      <c r="C2" s="21"/>
      <c r="E2" s="2"/>
      <c r="F2" s="2"/>
      <c r="G2" s="2"/>
    </row>
    <row r="3" spans="2:8" ht="12.75">
      <c r="B3" s="9" t="s">
        <v>0</v>
      </c>
      <c r="H3" s="28">
        <v>39414</v>
      </c>
    </row>
    <row r="4" ht="12.75">
      <c r="B4" s="10" t="s">
        <v>1</v>
      </c>
    </row>
    <row r="5" ht="12.75">
      <c r="B5" s="15" t="s">
        <v>126</v>
      </c>
    </row>
    <row r="6" ht="8.25" customHeight="1">
      <c r="B6" s="15"/>
    </row>
    <row r="7" spans="1:8" ht="16.5" customHeight="1">
      <c r="A7" s="16" t="s">
        <v>2</v>
      </c>
      <c r="B7" s="1"/>
      <c r="C7" s="16" t="s">
        <v>3</v>
      </c>
      <c r="D7" s="16" t="s">
        <v>4</v>
      </c>
      <c r="E7" s="16" t="s">
        <v>5</v>
      </c>
      <c r="F7" s="4" t="s">
        <v>6</v>
      </c>
      <c r="G7" s="16" t="s">
        <v>7</v>
      </c>
      <c r="H7" s="3" t="s">
        <v>8</v>
      </c>
    </row>
    <row r="8" spans="1:8" ht="18.75" customHeight="1">
      <c r="A8" s="9" t="s">
        <v>11</v>
      </c>
      <c r="C8" s="23"/>
      <c r="D8" s="1"/>
      <c r="E8" s="1"/>
      <c r="F8" s="3"/>
      <c r="G8" s="1"/>
      <c r="H8" s="4"/>
    </row>
    <row r="9" spans="1:8" ht="15">
      <c r="A9" s="8" t="s">
        <v>12</v>
      </c>
      <c r="B9" s="1"/>
      <c r="C9" s="40">
        <v>8800</v>
      </c>
      <c r="D9" s="7">
        <v>152</v>
      </c>
      <c r="E9" s="32">
        <v>1000</v>
      </c>
      <c r="F9" s="5">
        <v>1337.6</v>
      </c>
      <c r="G9" s="5">
        <f>+F9</f>
        <v>1337.6</v>
      </c>
      <c r="H9" s="7">
        <f>C9*D9/E9</f>
        <v>1337.6</v>
      </c>
    </row>
    <row r="10" spans="1:8" ht="12.75">
      <c r="A10" s="24" t="s">
        <v>119</v>
      </c>
      <c r="C10" s="32">
        <v>7900</v>
      </c>
      <c r="D10" s="7">
        <v>32.2</v>
      </c>
      <c r="E10" s="32">
        <v>1000</v>
      </c>
      <c r="F10" s="13">
        <v>254.37</v>
      </c>
      <c r="G10" s="5">
        <f>+F10</f>
        <v>254.37</v>
      </c>
      <c r="H10" s="5">
        <v>254.37</v>
      </c>
    </row>
    <row r="11" spans="1:8" ht="12.75">
      <c r="A11" t="s">
        <v>26</v>
      </c>
      <c r="D11" s="5">
        <f>SUM(D9:D10)</f>
        <v>184.2</v>
      </c>
      <c r="F11" s="5">
        <f>SUM(F9:F10)</f>
        <v>1591.9699999999998</v>
      </c>
      <c r="G11" s="5">
        <f>SUM(G9:G10)</f>
        <v>1591.9699999999998</v>
      </c>
      <c r="H11" s="5">
        <f>SUM(H9:H10)</f>
        <v>1591.9699999999998</v>
      </c>
    </row>
    <row r="12" spans="1:8" ht="14.25" customHeight="1">
      <c r="A12" s="9" t="s">
        <v>13</v>
      </c>
      <c r="F12" s="5"/>
      <c r="G12" s="5"/>
      <c r="H12" s="5"/>
    </row>
    <row r="13" spans="1:7" ht="15.75" customHeight="1">
      <c r="A13" s="12" t="s">
        <v>14</v>
      </c>
      <c r="F13" s="5"/>
      <c r="G13" s="5"/>
    </row>
    <row r="14" spans="1:8" ht="12.75">
      <c r="A14" s="65" t="s">
        <v>106</v>
      </c>
      <c r="C14">
        <v>80000</v>
      </c>
      <c r="D14" s="5">
        <v>155</v>
      </c>
      <c r="E14">
        <v>80000</v>
      </c>
      <c r="F14" s="5">
        <v>155</v>
      </c>
      <c r="G14" s="5">
        <f>+F14</f>
        <v>155</v>
      </c>
      <c r="H14" s="5">
        <f>C14*D14/E14</f>
        <v>155</v>
      </c>
    </row>
    <row r="15" spans="1:8" ht="12.75">
      <c r="A15" t="s">
        <v>15</v>
      </c>
      <c r="D15" s="5"/>
      <c r="F15" s="5"/>
      <c r="G15" s="5"/>
      <c r="H15" s="5"/>
    </row>
    <row r="16" spans="1:8" ht="12.75">
      <c r="A16" s="10" t="s">
        <v>16</v>
      </c>
      <c r="C16" s="32">
        <v>125</v>
      </c>
      <c r="D16" s="5">
        <v>422</v>
      </c>
      <c r="E16" s="32">
        <v>1000</v>
      </c>
      <c r="F16" s="5">
        <v>52.75</v>
      </c>
      <c r="G16" s="5">
        <f>+F16</f>
        <v>52.75</v>
      </c>
      <c r="H16" s="5">
        <f>C16*D16/E16</f>
        <v>52.75</v>
      </c>
    </row>
    <row r="17" spans="1:8" ht="12.75">
      <c r="A17" s="10" t="s">
        <v>17</v>
      </c>
      <c r="C17" s="32">
        <v>225</v>
      </c>
      <c r="D17" s="5">
        <v>509.5</v>
      </c>
      <c r="E17" s="32">
        <v>1000</v>
      </c>
      <c r="F17" s="5">
        <v>114.64</v>
      </c>
      <c r="G17" s="5">
        <f aca="true" t="shared" si="0" ref="G17:G22">+F17</f>
        <v>114.64</v>
      </c>
      <c r="H17" s="5">
        <f aca="true" t="shared" si="1" ref="H17:H22">C17*D17/E17</f>
        <v>114.6375</v>
      </c>
    </row>
    <row r="18" spans="1:9" ht="12.75">
      <c r="A18" s="10" t="s">
        <v>18</v>
      </c>
      <c r="C18" s="32">
        <v>68.5</v>
      </c>
      <c r="D18" s="5">
        <v>340</v>
      </c>
      <c r="E18" s="32">
        <v>200</v>
      </c>
      <c r="F18" s="5">
        <v>116.45</v>
      </c>
      <c r="G18" s="5">
        <f t="shared" si="0"/>
        <v>116.45</v>
      </c>
      <c r="H18" s="5">
        <f t="shared" si="1"/>
        <v>116.45</v>
      </c>
      <c r="I18" s="6">
        <f>H16+H17+H18</f>
        <v>283.8375</v>
      </c>
    </row>
    <row r="19" spans="1:8" ht="12.75">
      <c r="A19" t="s">
        <v>19</v>
      </c>
      <c r="C19" s="32">
        <v>0.5</v>
      </c>
      <c r="D19" s="5">
        <v>30</v>
      </c>
      <c r="E19" s="32">
        <v>1</v>
      </c>
      <c r="F19" s="5">
        <v>15</v>
      </c>
      <c r="G19" s="5">
        <f t="shared" si="0"/>
        <v>15</v>
      </c>
      <c r="H19" s="5">
        <f t="shared" si="1"/>
        <v>15</v>
      </c>
    </row>
    <row r="20" spans="1:8" ht="12.75">
      <c r="A20" s="10" t="s">
        <v>45</v>
      </c>
      <c r="C20" s="32"/>
      <c r="D20" s="5"/>
      <c r="E20" s="32"/>
      <c r="F20" s="5"/>
      <c r="G20" s="5">
        <f t="shared" si="0"/>
        <v>0</v>
      </c>
      <c r="H20" s="5"/>
    </row>
    <row r="21" spans="1:8" ht="12.75">
      <c r="A21" t="s">
        <v>20</v>
      </c>
      <c r="C21" s="32">
        <v>1.25</v>
      </c>
      <c r="D21" s="5">
        <v>44.8</v>
      </c>
      <c r="E21" s="32">
        <v>1</v>
      </c>
      <c r="F21" s="5">
        <v>56</v>
      </c>
      <c r="G21" s="5">
        <f t="shared" si="0"/>
        <v>56</v>
      </c>
      <c r="H21" s="5">
        <f t="shared" si="1"/>
        <v>56</v>
      </c>
    </row>
    <row r="22" spans="1:8" ht="12.75">
      <c r="A22" t="s">
        <v>21</v>
      </c>
      <c r="C22" s="32">
        <v>4.5</v>
      </c>
      <c r="D22" s="5">
        <v>119.49</v>
      </c>
      <c r="E22" s="32">
        <v>10</v>
      </c>
      <c r="F22" s="5">
        <v>53.77</v>
      </c>
      <c r="G22" s="5">
        <f t="shared" si="0"/>
        <v>53.77</v>
      </c>
      <c r="H22" s="5">
        <f t="shared" si="1"/>
        <v>53.77049999999999</v>
      </c>
    </row>
    <row r="23" spans="1:8" ht="12.75">
      <c r="A23" s="10" t="s">
        <v>53</v>
      </c>
      <c r="F23" s="30">
        <f>SUM(F14:F22)</f>
        <v>563.61</v>
      </c>
      <c r="G23" s="6">
        <f>+F23</f>
        <v>563.61</v>
      </c>
      <c r="H23" s="11">
        <f>SUM(H14:H22)</f>
        <v>563.608</v>
      </c>
    </row>
    <row r="24" spans="1:8" ht="15.75" customHeight="1">
      <c r="A24" s="12" t="s">
        <v>22</v>
      </c>
      <c r="F24" s="16" t="s">
        <v>23</v>
      </c>
      <c r="G24" s="29" t="s">
        <v>24</v>
      </c>
      <c r="H24" s="5"/>
    </row>
    <row r="25" spans="1:8" ht="14.25" customHeight="1">
      <c r="A25" s="10" t="s">
        <v>92</v>
      </c>
      <c r="F25" s="5">
        <v>42.56</v>
      </c>
      <c r="G25" s="5">
        <v>10.32</v>
      </c>
      <c r="H25" s="13">
        <v>10.32</v>
      </c>
    </row>
    <row r="26" spans="1:8" ht="12.75">
      <c r="A26" s="10" t="s">
        <v>84</v>
      </c>
      <c r="F26" s="5">
        <v>11.77</v>
      </c>
      <c r="G26" s="5">
        <v>2.37</v>
      </c>
      <c r="H26" s="5">
        <f>+G26</f>
        <v>2.37</v>
      </c>
    </row>
    <row r="27" spans="1:8" ht="12.75">
      <c r="A27" t="s">
        <v>94</v>
      </c>
      <c r="F27" s="5">
        <v>32.03</v>
      </c>
      <c r="G27" s="5">
        <v>6.38</v>
      </c>
      <c r="H27" s="5">
        <f>+G27</f>
        <v>6.38</v>
      </c>
    </row>
    <row r="28" spans="1:8" ht="12.75">
      <c r="A28" t="s">
        <v>93</v>
      </c>
      <c r="F28" s="5">
        <v>24.23</v>
      </c>
      <c r="G28" s="5">
        <v>4.92</v>
      </c>
      <c r="H28" s="5">
        <f>+G28</f>
        <v>4.92</v>
      </c>
    </row>
    <row r="29" spans="1:8" ht="12.75">
      <c r="A29" t="s">
        <v>59</v>
      </c>
      <c r="F29" s="5">
        <v>74.5</v>
      </c>
      <c r="G29" s="5">
        <v>24.4</v>
      </c>
      <c r="H29" s="30">
        <f>+G29</f>
        <v>24.4</v>
      </c>
    </row>
    <row r="30" spans="1:8" ht="12.75">
      <c r="A30" t="s">
        <v>104</v>
      </c>
      <c r="F30" s="5">
        <v>28.01</v>
      </c>
      <c r="G30" s="5">
        <v>8.3</v>
      </c>
      <c r="H30" s="5">
        <f>+G30</f>
        <v>8.3</v>
      </c>
    </row>
    <row r="31" spans="1:8" ht="12.75">
      <c r="A31" t="s">
        <v>108</v>
      </c>
      <c r="D31" s="5">
        <v>6</v>
      </c>
      <c r="E31" t="s">
        <v>43</v>
      </c>
      <c r="F31" s="5">
        <f>D31*C9/1000</f>
        <v>52.8</v>
      </c>
      <c r="G31" s="5">
        <v>8.3</v>
      </c>
      <c r="H31" s="5">
        <v>8.3</v>
      </c>
    </row>
    <row r="32" spans="1:8" ht="15" customHeight="1">
      <c r="A32" t="s">
        <v>26</v>
      </c>
      <c r="F32" s="30">
        <f>SUM(F25:F31)</f>
        <v>265.9</v>
      </c>
      <c r="G32" s="30">
        <f>SUM(G25:G31)</f>
        <v>64.99</v>
      </c>
      <c r="H32" s="30">
        <f>SUM(H25:H31)</f>
        <v>64.99</v>
      </c>
    </row>
    <row r="33" ht="15.75" customHeight="1">
      <c r="A33" s="12" t="s">
        <v>27</v>
      </c>
    </row>
    <row r="34" spans="1:9" ht="12.75">
      <c r="A34" s="10" t="s">
        <v>128</v>
      </c>
      <c r="C34" s="32">
        <f>+C9</f>
        <v>8800</v>
      </c>
      <c r="D34" s="5">
        <v>26.01</v>
      </c>
      <c r="E34" s="32">
        <v>1000</v>
      </c>
      <c r="F34" s="5">
        <f>C34*I34/E34</f>
        <v>272.8</v>
      </c>
      <c r="G34" s="5">
        <v>228.89</v>
      </c>
      <c r="H34" s="5">
        <f>C34*D34/E34</f>
        <v>228.888</v>
      </c>
      <c r="I34" s="7">
        <v>31</v>
      </c>
    </row>
    <row r="35" spans="1:9" ht="12.75">
      <c r="A35" t="s">
        <v>52</v>
      </c>
      <c r="C35" s="32">
        <f>+C9</f>
        <v>8800</v>
      </c>
      <c r="D35" s="5">
        <v>1.3</v>
      </c>
      <c r="E35" s="32">
        <v>1000</v>
      </c>
      <c r="F35" s="5">
        <f>C35*I35/E35</f>
        <v>55.088</v>
      </c>
      <c r="G35" s="5">
        <v>11.44</v>
      </c>
      <c r="H35" s="5">
        <f>C35*D35/E35</f>
        <v>11.44</v>
      </c>
      <c r="I35" s="38">
        <v>6.26</v>
      </c>
    </row>
    <row r="36" spans="1:9" ht="12.75">
      <c r="A36" s="25" t="s">
        <v>30</v>
      </c>
      <c r="C36" s="32">
        <f>C9</f>
        <v>8800</v>
      </c>
      <c r="D36" s="5">
        <v>9.5</v>
      </c>
      <c r="E36" s="32">
        <v>1000</v>
      </c>
      <c r="F36" s="5">
        <v>83.6</v>
      </c>
      <c r="G36" s="5">
        <v>83.6</v>
      </c>
      <c r="H36" s="5">
        <f>C36*D36/E36</f>
        <v>83.6</v>
      </c>
      <c r="I36" s="38"/>
    </row>
    <row r="37" spans="1:9" ht="12.75">
      <c r="A37" t="s">
        <v>33</v>
      </c>
      <c r="C37" s="32">
        <f>+C9</f>
        <v>8800</v>
      </c>
      <c r="D37" s="5">
        <f>0.85+0.45</f>
        <v>1.3</v>
      </c>
      <c r="E37" s="32">
        <v>1000</v>
      </c>
      <c r="F37" s="5">
        <v>11.44</v>
      </c>
      <c r="G37" s="5">
        <v>11.44</v>
      </c>
      <c r="H37" s="5">
        <f>C37*D37/E37</f>
        <v>11.44</v>
      </c>
      <c r="I37" s="22"/>
    </row>
    <row r="38" spans="1:8" ht="12.75">
      <c r="A38" s="24" t="s">
        <v>31</v>
      </c>
      <c r="F38" s="6">
        <f>SUM(F34:F37)</f>
        <v>422.92800000000005</v>
      </c>
      <c r="G38" s="6">
        <f>SUM(G34:G37)</f>
        <v>335.36999999999995</v>
      </c>
      <c r="H38" s="6">
        <f>SUM(H34:H37)</f>
        <v>335.368</v>
      </c>
    </row>
    <row r="39" ht="15.75" customHeight="1">
      <c r="A39" s="18" t="s">
        <v>32</v>
      </c>
    </row>
    <row r="40" spans="1:8" ht="12.75">
      <c r="A40" t="s">
        <v>60</v>
      </c>
      <c r="C40" s="32">
        <f>C9</f>
        <v>8800</v>
      </c>
      <c r="D40" s="5">
        <v>174</v>
      </c>
      <c r="E40" s="46">
        <v>0.0328</v>
      </c>
      <c r="F40" s="5">
        <v>42.69</v>
      </c>
      <c r="G40" s="5">
        <f>+F40</f>
        <v>42.69</v>
      </c>
      <c r="H40" s="5">
        <f>C40/1000*0.85*D40*E40</f>
        <v>42.689856000000006</v>
      </c>
    </row>
    <row r="41" spans="1:8" ht="12.75">
      <c r="A41" t="s">
        <v>121</v>
      </c>
      <c r="D41" s="5"/>
      <c r="F41" s="5">
        <v>102.06</v>
      </c>
      <c r="G41" s="5">
        <f>+F41</f>
        <v>102.06</v>
      </c>
      <c r="H41" s="5">
        <v>102.06</v>
      </c>
    </row>
    <row r="42" spans="1:8" ht="12.75">
      <c r="A42" t="s">
        <v>34</v>
      </c>
      <c r="C42" s="32">
        <v>5</v>
      </c>
      <c r="D42" s="5">
        <v>14</v>
      </c>
      <c r="E42" s="32">
        <v>1</v>
      </c>
      <c r="F42" s="5">
        <v>0</v>
      </c>
      <c r="G42" s="5">
        <v>70</v>
      </c>
      <c r="H42" s="5">
        <f>C42*D42/E42</f>
        <v>70</v>
      </c>
    </row>
    <row r="43" spans="1:8" ht="12.75">
      <c r="A43" s="10" t="s">
        <v>49</v>
      </c>
      <c r="F43" s="13">
        <f>8000*0.03</f>
        <v>240</v>
      </c>
      <c r="G43" s="5">
        <v>0</v>
      </c>
      <c r="H43" s="5">
        <v>0</v>
      </c>
    </row>
    <row r="44" spans="1:8" ht="12.75">
      <c r="A44" s="10" t="s">
        <v>140</v>
      </c>
      <c r="F44" s="13">
        <f>8000*0.67/100</f>
        <v>53.6</v>
      </c>
      <c r="G44" s="5">
        <f>+H44</f>
        <v>74</v>
      </c>
      <c r="H44" s="13">
        <f>8000*0.925/100</f>
        <v>74</v>
      </c>
    </row>
    <row r="45" spans="1:8" ht="12.75">
      <c r="A45" t="s">
        <v>35</v>
      </c>
      <c r="C45" s="22">
        <f>H23+H32+H38+SUM(H40:H44)</f>
        <v>1252.7158559999998</v>
      </c>
      <c r="D45" s="66">
        <v>0.075</v>
      </c>
      <c r="E45" s="32">
        <v>9</v>
      </c>
      <c r="F45" s="5">
        <v>70.47</v>
      </c>
      <c r="G45" s="5">
        <f>+F45</f>
        <v>70.47</v>
      </c>
      <c r="H45" s="5">
        <f>C45*D45*E45/12</f>
        <v>70.46526689999999</v>
      </c>
    </row>
    <row r="46" spans="1:8" ht="12.75">
      <c r="A46" t="s">
        <v>36</v>
      </c>
      <c r="E46" s="35" t="s">
        <v>61</v>
      </c>
      <c r="F46" s="5">
        <f>SUM(F40:F45)</f>
        <v>508.82000000000005</v>
      </c>
      <c r="G46" s="5">
        <f>SUM(G40:G45)</f>
        <v>359.22</v>
      </c>
      <c r="H46" s="5">
        <f>SUM(H40:H45)</f>
        <v>359.2151229</v>
      </c>
    </row>
    <row r="47" spans="6:8" ht="12.75">
      <c r="F47" s="5"/>
      <c r="G47" s="5"/>
      <c r="H47" s="5"/>
    </row>
    <row r="48" spans="1:8" ht="12.75">
      <c r="A48" s="10" t="s">
        <v>38</v>
      </c>
      <c r="F48" s="5">
        <f>F23+F32+F38+F46</f>
        <v>1761.2580000000003</v>
      </c>
      <c r="G48" s="5">
        <f>G23+G32+G38+G46</f>
        <v>1323.19</v>
      </c>
      <c r="H48" s="5">
        <f>H23+H32+H38+H46</f>
        <v>1323.1811229</v>
      </c>
    </row>
    <row r="49" spans="1:8" ht="16.5" customHeight="1">
      <c r="A49" s="9" t="s">
        <v>47</v>
      </c>
      <c r="F49" s="31">
        <f>F11-F48</f>
        <v>-169.28800000000047</v>
      </c>
      <c r="G49" s="31">
        <f>G11-G48</f>
        <v>268.77999999999975</v>
      </c>
      <c r="H49" s="41">
        <f>H11-H48</f>
        <v>268.7888770999998</v>
      </c>
    </row>
    <row r="50" spans="1:8" ht="18" customHeight="1">
      <c r="A50" t="s">
        <v>40</v>
      </c>
      <c r="F50" s="5"/>
      <c r="G50" s="5"/>
      <c r="H50" s="5">
        <f>H48/(C9/1000)</f>
        <v>150.36149123863635</v>
      </c>
    </row>
  </sheetData>
  <printOptions/>
  <pageMargins left="0.7874015748031497" right="0.7874015748031497" top="0.984251968503937" bottom="0.984251968503937" header="0.5118110236220472" footer="0.7086614173228347"/>
  <pageSetup horizontalDpi="600" verticalDpi="600" orientation="portrait" r:id="rId1"/>
  <headerFooter alignWithMargins="0">
    <oddFooter>&amp;C19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"/>
    </sheetView>
  </sheetViews>
  <sheetFormatPr defaultColWidth="11.421875" defaultRowHeight="12.75"/>
  <cols>
    <col min="2" max="2" width="10.8515625" style="0" customWidth="1"/>
    <col min="3" max="3" width="10.28125" style="0" customWidth="1"/>
  </cols>
  <sheetData>
    <row r="1" spans="1:8" ht="15.75">
      <c r="A1" s="27" t="s">
        <v>109</v>
      </c>
      <c r="B1" s="27"/>
      <c r="C1" s="27"/>
      <c r="D1" s="27"/>
      <c r="E1" s="27"/>
      <c r="F1" s="27"/>
      <c r="G1" s="27"/>
      <c r="H1" s="27"/>
    </row>
    <row r="2" spans="2:8" ht="15" customHeight="1">
      <c r="B2" s="9" t="s">
        <v>0</v>
      </c>
      <c r="H2" s="28">
        <v>39414</v>
      </c>
    </row>
    <row r="3" ht="12.75">
      <c r="B3" s="10" t="s">
        <v>1</v>
      </c>
    </row>
    <row r="4" ht="12.75">
      <c r="B4" s="15" t="s">
        <v>118</v>
      </c>
    </row>
    <row r="5" spans="1:8" ht="15.75" customHeight="1">
      <c r="A5" s="16" t="s">
        <v>2</v>
      </c>
      <c r="B5" s="1"/>
      <c r="C5" s="16" t="s">
        <v>3</v>
      </c>
      <c r="D5" s="16" t="s">
        <v>4</v>
      </c>
      <c r="E5" s="16" t="s">
        <v>5</v>
      </c>
      <c r="F5" s="4" t="s">
        <v>6</v>
      </c>
      <c r="G5" s="16" t="s">
        <v>7</v>
      </c>
      <c r="H5" s="3" t="s">
        <v>8</v>
      </c>
    </row>
    <row r="6" spans="3:8" ht="12.75">
      <c r="C6" s="1"/>
      <c r="D6" s="1"/>
      <c r="E6" s="1"/>
      <c r="F6" s="16" t="s">
        <v>9</v>
      </c>
      <c r="G6" s="1"/>
      <c r="H6" s="17" t="s">
        <v>10</v>
      </c>
    </row>
    <row r="7" spans="1:8" ht="15.75" customHeight="1">
      <c r="A7" s="9" t="s">
        <v>11</v>
      </c>
      <c r="C7" s="23"/>
      <c r="D7" s="1"/>
      <c r="E7" s="1"/>
      <c r="F7" s="3"/>
      <c r="G7" s="1"/>
      <c r="H7" s="4"/>
    </row>
    <row r="8" spans="1:8" ht="15" customHeight="1">
      <c r="A8" s="26" t="s">
        <v>132</v>
      </c>
      <c r="B8" s="1"/>
      <c r="C8" s="58">
        <f>8800/0.814*1.2</f>
        <v>12972.972972972973</v>
      </c>
      <c r="D8" s="48">
        <f>141*0.814*0.8</f>
        <v>91.8192</v>
      </c>
      <c r="E8" s="32">
        <v>1000</v>
      </c>
      <c r="F8" s="5">
        <v>1191.17</v>
      </c>
      <c r="G8" s="5">
        <f>+F8</f>
        <v>1191.17</v>
      </c>
      <c r="H8" s="7">
        <f>C8*D8/E8</f>
        <v>1191.168</v>
      </c>
    </row>
    <row r="9" spans="1:8" ht="12.75">
      <c r="A9" s="24" t="s">
        <v>122</v>
      </c>
      <c r="C9" s="32">
        <v>7900</v>
      </c>
      <c r="D9" s="7">
        <v>32.2</v>
      </c>
      <c r="E9" s="32">
        <v>1000</v>
      </c>
      <c r="F9" s="5">
        <v>254.37</v>
      </c>
      <c r="G9" s="5">
        <f>+F9</f>
        <v>254.37</v>
      </c>
      <c r="H9" s="13">
        <v>254.37</v>
      </c>
    </row>
    <row r="10" spans="1:8" ht="12.75">
      <c r="A10" s="45" t="s">
        <v>146</v>
      </c>
      <c r="D10" s="6"/>
      <c r="F10" s="5">
        <f>SUM(F8:F9)</f>
        <v>1445.54</v>
      </c>
      <c r="G10" s="5">
        <f>SUM(G8:G9)</f>
        <v>1445.54</v>
      </c>
      <c r="H10" s="5">
        <f>SUM(H8:H9)</f>
        <v>1445.538</v>
      </c>
    </row>
    <row r="11" spans="1:8" ht="16.5" customHeight="1">
      <c r="A11" s="9" t="s">
        <v>13</v>
      </c>
      <c r="D11" s="6">
        <f>SUM(D8:D9)</f>
        <v>124.0192</v>
      </c>
      <c r="F11" s="5"/>
      <c r="G11" s="5"/>
      <c r="H11" s="5"/>
    </row>
    <row r="12" spans="1:7" ht="15" customHeight="1">
      <c r="A12" s="12" t="s">
        <v>14</v>
      </c>
      <c r="F12" s="5"/>
      <c r="G12" s="5"/>
    </row>
    <row r="13" spans="1:8" ht="15" customHeight="1">
      <c r="A13" s="65" t="s">
        <v>97</v>
      </c>
      <c r="C13" s="32">
        <v>80000</v>
      </c>
      <c r="D13" s="7">
        <v>155</v>
      </c>
      <c r="E13" s="32">
        <v>80000</v>
      </c>
      <c r="F13" s="5">
        <v>155</v>
      </c>
      <c r="G13" s="5">
        <f>+F13</f>
        <v>155</v>
      </c>
      <c r="H13" s="5">
        <f>C13*D13/E13</f>
        <v>155</v>
      </c>
    </row>
    <row r="14" spans="1:8" ht="12.75">
      <c r="A14" t="s">
        <v>15</v>
      </c>
      <c r="C14" s="32"/>
      <c r="D14" s="7"/>
      <c r="E14" s="32"/>
      <c r="F14" s="5"/>
      <c r="G14" s="5"/>
      <c r="H14" s="5"/>
    </row>
    <row r="15" spans="1:8" ht="12.75">
      <c r="A15" s="10" t="s">
        <v>16</v>
      </c>
      <c r="C15" s="32">
        <v>125</v>
      </c>
      <c r="D15" s="7">
        <v>422</v>
      </c>
      <c r="E15" s="32">
        <v>1000</v>
      </c>
      <c r="F15" s="5">
        <v>52.75</v>
      </c>
      <c r="G15" s="5">
        <f>+F15</f>
        <v>52.75</v>
      </c>
      <c r="H15" s="5">
        <f>C15*D15/E15</f>
        <v>52.75</v>
      </c>
    </row>
    <row r="16" spans="1:8" ht="12.75">
      <c r="A16" s="10" t="s">
        <v>17</v>
      </c>
      <c r="C16" s="32">
        <v>225</v>
      </c>
      <c r="D16" s="7">
        <v>509.5</v>
      </c>
      <c r="E16" s="32">
        <v>1000</v>
      </c>
      <c r="F16" s="5">
        <v>114.64</v>
      </c>
      <c r="G16" s="5">
        <f aca="true" t="shared" si="0" ref="G16:G21">+F16</f>
        <v>114.64</v>
      </c>
      <c r="H16" s="5">
        <f aca="true" t="shared" si="1" ref="H16:H21">C16*D16/E16</f>
        <v>114.6375</v>
      </c>
    </row>
    <row r="17" spans="1:8" ht="12.75">
      <c r="A17" s="10" t="s">
        <v>18</v>
      </c>
      <c r="C17" s="32">
        <v>68.5</v>
      </c>
      <c r="D17" s="7">
        <v>340</v>
      </c>
      <c r="E17" s="32">
        <v>200</v>
      </c>
      <c r="F17" s="5">
        <v>116.45</v>
      </c>
      <c r="G17" s="5">
        <f t="shared" si="0"/>
        <v>116.45</v>
      </c>
      <c r="H17" s="5">
        <f t="shared" si="1"/>
        <v>116.45</v>
      </c>
    </row>
    <row r="18" spans="1:8" ht="12.75">
      <c r="A18" t="s">
        <v>19</v>
      </c>
      <c r="C18" s="32">
        <v>0.5</v>
      </c>
      <c r="D18" s="7">
        <v>30</v>
      </c>
      <c r="E18" s="32">
        <v>1</v>
      </c>
      <c r="F18" s="5">
        <v>15</v>
      </c>
      <c r="G18" s="5">
        <f t="shared" si="0"/>
        <v>15</v>
      </c>
      <c r="H18" s="5">
        <f t="shared" si="1"/>
        <v>15</v>
      </c>
    </row>
    <row r="19" spans="1:8" ht="12.75">
      <c r="A19" s="10" t="s">
        <v>45</v>
      </c>
      <c r="C19" s="32"/>
      <c r="D19" s="7"/>
      <c r="E19" s="32"/>
      <c r="F19" s="5"/>
      <c r="G19" s="5">
        <f t="shared" si="0"/>
        <v>0</v>
      </c>
      <c r="H19" s="5"/>
    </row>
    <row r="20" spans="1:8" ht="12.75">
      <c r="A20" t="s">
        <v>20</v>
      </c>
      <c r="C20" s="32">
        <v>1.25</v>
      </c>
      <c r="D20" s="7">
        <v>44.8</v>
      </c>
      <c r="E20" s="32">
        <v>1</v>
      </c>
      <c r="F20" s="5">
        <v>56</v>
      </c>
      <c r="G20" s="5">
        <f t="shared" si="0"/>
        <v>56</v>
      </c>
      <c r="H20" s="5">
        <f t="shared" si="1"/>
        <v>56</v>
      </c>
    </row>
    <row r="21" spans="1:8" ht="12.75">
      <c r="A21" t="s">
        <v>21</v>
      </c>
      <c r="C21" s="32">
        <v>4.5</v>
      </c>
      <c r="D21" s="7">
        <v>119.49</v>
      </c>
      <c r="E21" s="32">
        <v>10</v>
      </c>
      <c r="F21" s="5">
        <v>53.77</v>
      </c>
      <c r="G21" s="5">
        <f t="shared" si="0"/>
        <v>53.77</v>
      </c>
      <c r="H21" s="5">
        <f t="shared" si="1"/>
        <v>53.77049999999999</v>
      </c>
    </row>
    <row r="22" spans="1:8" ht="12.75">
      <c r="A22" s="10" t="s">
        <v>46</v>
      </c>
      <c r="F22" s="6">
        <f>H22</f>
        <v>563.608</v>
      </c>
      <c r="G22" s="6">
        <f>+F22</f>
        <v>563.608</v>
      </c>
      <c r="H22" s="11">
        <f>SUM(H13:H21)</f>
        <v>563.608</v>
      </c>
    </row>
    <row r="23" spans="1:8" ht="15" customHeight="1">
      <c r="A23" s="12" t="s">
        <v>22</v>
      </c>
      <c r="F23" s="16" t="s">
        <v>23</v>
      </c>
      <c r="G23" s="29" t="s">
        <v>24</v>
      </c>
      <c r="H23" s="5"/>
    </row>
    <row r="24" spans="1:8" ht="15" customHeight="1">
      <c r="A24" s="10" t="s">
        <v>25</v>
      </c>
      <c r="F24" s="5">
        <v>71.08</v>
      </c>
      <c r="G24" s="5">
        <v>25.02</v>
      </c>
      <c r="H24" s="13">
        <f>+G24</f>
        <v>25.02</v>
      </c>
    </row>
    <row r="25" spans="1:8" ht="12.75">
      <c r="A25" t="s">
        <v>54</v>
      </c>
      <c r="F25" s="5">
        <v>16.83</v>
      </c>
      <c r="G25" s="5">
        <v>5.94</v>
      </c>
      <c r="H25" s="13">
        <f>+G25</f>
        <v>5.94</v>
      </c>
    </row>
    <row r="26" spans="1:8" ht="12.75">
      <c r="A26" t="s">
        <v>141</v>
      </c>
      <c r="F26" s="5">
        <v>13.38</v>
      </c>
      <c r="G26" s="5">
        <v>4.41</v>
      </c>
      <c r="H26" s="5">
        <f aca="true" t="shared" si="2" ref="H26:H33">+G26</f>
        <v>4.41</v>
      </c>
    </row>
    <row r="27" spans="1:8" ht="12.75">
      <c r="A27" s="10" t="s">
        <v>55</v>
      </c>
      <c r="F27" s="5">
        <f>3.81*2</f>
        <v>7.62</v>
      </c>
      <c r="G27" s="5">
        <f>0.73*2</f>
        <v>1.46</v>
      </c>
      <c r="H27" s="5">
        <f t="shared" si="2"/>
        <v>1.46</v>
      </c>
    </row>
    <row r="28" spans="1:8" ht="12.75">
      <c r="A28" s="10" t="s">
        <v>57</v>
      </c>
      <c r="F28" s="5">
        <v>39.28</v>
      </c>
      <c r="G28" s="5">
        <v>8.92</v>
      </c>
      <c r="H28" s="5">
        <f>+G28</f>
        <v>8.92</v>
      </c>
    </row>
    <row r="29" spans="1:8" ht="12.75">
      <c r="A29" s="10" t="s">
        <v>56</v>
      </c>
      <c r="F29" s="5">
        <v>11.77</v>
      </c>
      <c r="G29" s="5">
        <v>2.37</v>
      </c>
      <c r="H29" s="5">
        <f t="shared" si="2"/>
        <v>2.37</v>
      </c>
    </row>
    <row r="30" spans="1:8" ht="12.75">
      <c r="A30" t="s">
        <v>58</v>
      </c>
      <c r="F30" s="5">
        <v>20.24</v>
      </c>
      <c r="G30" s="5">
        <v>3.93</v>
      </c>
      <c r="H30" s="5">
        <f t="shared" si="2"/>
        <v>3.93</v>
      </c>
    </row>
    <row r="31" spans="1:8" ht="12.75">
      <c r="A31" t="s">
        <v>86</v>
      </c>
      <c r="F31" s="5">
        <v>169.52</v>
      </c>
      <c r="G31" s="5">
        <v>60.76</v>
      </c>
      <c r="H31" s="5">
        <f>+G31</f>
        <v>60.76</v>
      </c>
    </row>
    <row r="32" spans="1:8" ht="12.75">
      <c r="A32" t="s">
        <v>85</v>
      </c>
      <c r="F32" s="5">
        <v>155.9</v>
      </c>
      <c r="G32" s="5">
        <v>44.17</v>
      </c>
      <c r="H32" s="5">
        <f t="shared" si="2"/>
        <v>44.17</v>
      </c>
    </row>
    <row r="33" spans="1:8" ht="12.75">
      <c r="A33" t="s">
        <v>87</v>
      </c>
      <c r="F33" s="5">
        <v>64.88</v>
      </c>
      <c r="G33" s="5">
        <v>16.4</v>
      </c>
      <c r="H33" s="5">
        <f t="shared" si="2"/>
        <v>16.4</v>
      </c>
    </row>
    <row r="34" spans="1:8" ht="14.25" customHeight="1">
      <c r="A34" t="s">
        <v>26</v>
      </c>
      <c r="F34" s="30">
        <f>SUM(F24:F33)</f>
        <v>570.5</v>
      </c>
      <c r="G34" s="30">
        <f>SUM(G24:G33)</f>
        <v>173.38000000000002</v>
      </c>
      <c r="H34" s="30">
        <f>SUM(H24:H33)</f>
        <v>173.38000000000002</v>
      </c>
    </row>
    <row r="35" ht="14.25" customHeight="1">
      <c r="A35" s="12" t="s">
        <v>27</v>
      </c>
    </row>
    <row r="36" spans="1:9" ht="15" customHeight="1">
      <c r="A36" s="23" t="s">
        <v>110</v>
      </c>
      <c r="C36" s="59">
        <f>+C8</f>
        <v>12972.972972972973</v>
      </c>
      <c r="D36" s="7">
        <v>5.68</v>
      </c>
      <c r="E36" s="32">
        <v>1000</v>
      </c>
      <c r="F36" s="5">
        <f>C36*I36/E36</f>
        <v>262.57297297297293</v>
      </c>
      <c r="G36" s="5">
        <v>73.69</v>
      </c>
      <c r="H36" s="5">
        <f>C36*D36/E36</f>
        <v>73.68648648648647</v>
      </c>
      <c r="I36" s="38">
        <v>20.24</v>
      </c>
    </row>
    <row r="37" spans="1:9" ht="9" customHeight="1">
      <c r="A37" s="23"/>
      <c r="C37" s="59"/>
      <c r="D37" s="7"/>
      <c r="E37" s="32"/>
      <c r="F37" s="5"/>
      <c r="G37" s="5"/>
      <c r="H37" s="5"/>
      <c r="I37" s="38"/>
    </row>
    <row r="38" ht="15" customHeight="1">
      <c r="A38" s="18" t="s">
        <v>32</v>
      </c>
    </row>
    <row r="39" spans="1:8" ht="15" customHeight="1">
      <c r="A39" t="s">
        <v>60</v>
      </c>
      <c r="C39" s="32">
        <v>8800</v>
      </c>
      <c r="D39" s="7">
        <v>174</v>
      </c>
      <c r="E39" s="46">
        <v>0.0328</v>
      </c>
      <c r="F39" s="7">
        <v>42.69</v>
      </c>
      <c r="G39" s="5">
        <f>+F39</f>
        <v>42.69</v>
      </c>
      <c r="H39" s="5">
        <f>C39/1000*0.85*D39*E39</f>
        <v>42.689856000000006</v>
      </c>
    </row>
    <row r="40" spans="1:8" ht="12.75">
      <c r="A40" t="s">
        <v>124</v>
      </c>
      <c r="C40" s="32"/>
      <c r="D40" s="7"/>
      <c r="E40" s="32"/>
      <c r="F40" s="7">
        <v>102.06</v>
      </c>
      <c r="G40" s="5">
        <f>+F40</f>
        <v>102.06</v>
      </c>
      <c r="H40" s="5">
        <v>102.06</v>
      </c>
    </row>
    <row r="41" spans="1:8" ht="12.75">
      <c r="A41" t="s">
        <v>34</v>
      </c>
      <c r="C41" s="32">
        <v>5</v>
      </c>
      <c r="D41" s="7">
        <v>14</v>
      </c>
      <c r="E41" s="32">
        <v>1</v>
      </c>
      <c r="F41" s="7">
        <v>0</v>
      </c>
      <c r="G41" s="5">
        <v>70</v>
      </c>
      <c r="H41" s="5">
        <f>C41*D41/E41</f>
        <v>70</v>
      </c>
    </row>
    <row r="42" spans="1:8" ht="12.75">
      <c r="A42" s="10" t="s">
        <v>49</v>
      </c>
      <c r="C42" s="32"/>
      <c r="D42" s="32"/>
      <c r="E42" s="32"/>
      <c r="F42" s="37">
        <f>8000*0.03</f>
        <v>240</v>
      </c>
      <c r="G42" s="5">
        <v>0</v>
      </c>
      <c r="H42" s="5">
        <v>0</v>
      </c>
    </row>
    <row r="43" spans="1:8" ht="12.75">
      <c r="A43" s="10" t="s">
        <v>51</v>
      </c>
      <c r="C43" s="32"/>
      <c r="D43" s="32"/>
      <c r="E43" s="32"/>
      <c r="F43" s="37">
        <f>8000*0.67/100</f>
        <v>53.6</v>
      </c>
      <c r="G43" s="5">
        <f>+H43</f>
        <v>74</v>
      </c>
      <c r="H43" s="37">
        <f>8000*0.925/100</f>
        <v>74</v>
      </c>
    </row>
    <row r="44" spans="1:8" ht="12.75">
      <c r="A44" t="s">
        <v>35</v>
      </c>
      <c r="C44" s="38">
        <f>H22+H34+H36+SUM(H39:H43)</f>
        <v>1099.4243424864865</v>
      </c>
      <c r="D44" s="66">
        <v>0.075</v>
      </c>
      <c r="E44" s="32">
        <v>9</v>
      </c>
      <c r="F44" s="7">
        <v>61.84</v>
      </c>
      <c r="G44" s="5">
        <f>+F44</f>
        <v>61.84</v>
      </c>
      <c r="H44" s="5">
        <f>C44*D44*E44/12</f>
        <v>61.84261926486486</v>
      </c>
    </row>
    <row r="45" spans="1:8" ht="12.75">
      <c r="A45" t="s">
        <v>36</v>
      </c>
      <c r="C45" s="32"/>
      <c r="D45" s="32"/>
      <c r="E45" s="35" t="s">
        <v>37</v>
      </c>
      <c r="F45" s="7">
        <f>SUM(F39:F44)</f>
        <v>500.19000000000005</v>
      </c>
      <c r="G45" s="5">
        <f>SUM(G39:G44)</f>
        <v>350.59000000000003</v>
      </c>
      <c r="H45" s="5">
        <f>SUM(H39:H44)</f>
        <v>350.5924752648649</v>
      </c>
    </row>
    <row r="46" spans="6:8" ht="12.75">
      <c r="F46" s="5"/>
      <c r="G46" s="5"/>
      <c r="H46" s="5"/>
    </row>
    <row r="47" spans="1:8" ht="12.75">
      <c r="A47" s="10" t="s">
        <v>38</v>
      </c>
      <c r="F47" s="5">
        <f>F22+F34+F36+F45</f>
        <v>1896.870972972973</v>
      </c>
      <c r="G47" s="5">
        <f>G22+G34+G36+G45</f>
        <v>1161.268</v>
      </c>
      <c r="H47" s="5">
        <f>H22+H34+H36+H45</f>
        <v>1161.2669617513513</v>
      </c>
    </row>
    <row r="48" spans="1:8" ht="16.5" customHeight="1">
      <c r="A48" s="9" t="s">
        <v>47</v>
      </c>
      <c r="F48" s="20">
        <f>F10-F47</f>
        <v>-451.3309729729731</v>
      </c>
      <c r="G48" s="20">
        <f>G10-G47</f>
        <v>284.27199999999993</v>
      </c>
      <c r="H48" s="19">
        <f>H10-H47</f>
        <v>284.27103824864867</v>
      </c>
    </row>
    <row r="49" spans="1:8" ht="18" customHeight="1">
      <c r="A49" t="s">
        <v>83</v>
      </c>
      <c r="C49" s="57">
        <f>(F49+H49)/2</f>
        <v>117.86573290083334</v>
      </c>
      <c r="D49" t="s">
        <v>43</v>
      </c>
      <c r="F49" s="5">
        <f>F47/(C8/1000)</f>
        <v>146.2171375</v>
      </c>
      <c r="G49" s="5"/>
      <c r="H49" s="5">
        <f>H47/(C8/1000)</f>
        <v>89.51432830166667</v>
      </c>
    </row>
  </sheetData>
  <printOptions/>
  <pageMargins left="0.7874015748031497" right="0.7874015748031497" top="0.984251968503937" bottom="0.984251968503937" header="0.5118110236220472" footer="0.7086614173228347"/>
  <pageSetup horizontalDpi="600" verticalDpi="600" orientation="portrait" r:id="rId1"/>
  <headerFooter alignWithMargins="0">
    <oddFooter>&amp;C20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 REGIONAL</dc:creator>
  <cp:keywords/>
  <dc:description/>
  <cp:lastModifiedBy>ibm</cp:lastModifiedBy>
  <cp:lastPrinted>2007-11-29T09:37:57Z</cp:lastPrinted>
  <dcterms:created xsi:type="dcterms:W3CDTF">1998-03-03T15:53:32Z</dcterms:created>
  <dcterms:modified xsi:type="dcterms:W3CDTF">2007-11-29T09:47:00Z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</Properties>
</file>